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310" yWindow="60" windowWidth="11760" windowHeight="9600"/>
  </bookViews>
  <sheets>
    <sheet name="01.09.20 без увел " sheetId="2" r:id="rId1"/>
    <sheet name="восп с увел" sheetId="11" r:id="rId2"/>
    <sheet name="штат 01.01н к" sheetId="3" r:id="rId3"/>
  </sheets>
  <externalReferences>
    <externalReference r:id="rId4"/>
    <externalReference r:id="rId5"/>
  </externalReferences>
  <definedNames>
    <definedName name="БДО" localSheetId="2">'[1] КонстСШ 1.07.2011'!$H$5</definedName>
    <definedName name="БДО">'[2] КонстСШ 1.07.2011'!$H$5</definedName>
  </definedNames>
  <calcPr calcId="125725"/>
</workbook>
</file>

<file path=xl/calcChain.xml><?xml version="1.0" encoding="utf-8"?>
<calcChain xmlns="http://schemas.openxmlformats.org/spreadsheetml/2006/main">
  <c r="S42" i="3"/>
  <c r="S45"/>
  <c r="S46"/>
  <c r="K31"/>
  <c r="K37"/>
  <c r="I45"/>
  <c r="I46"/>
  <c r="I47"/>
  <c r="S47"/>
  <c r="H48"/>
  <c r="AO28" i="11" l="1"/>
  <c r="AJ28"/>
  <c r="AH28"/>
  <c r="AF28"/>
  <c r="AD28"/>
  <c r="AB28"/>
  <c r="Y28"/>
  <c r="X28"/>
  <c r="U28"/>
  <c r="S28"/>
  <c r="Q28"/>
  <c r="N28"/>
  <c r="K28"/>
  <c r="I28"/>
  <c r="AK27"/>
  <c r="AI27"/>
  <c r="AG27"/>
  <c r="AE27"/>
  <c r="AC27"/>
  <c r="V27"/>
  <c r="T27"/>
  <c r="R27"/>
  <c r="AL27" s="1"/>
  <c r="AK26"/>
  <c r="AI26"/>
  <c r="AG26"/>
  <c r="AE26"/>
  <c r="AC26"/>
  <c r="V26"/>
  <c r="T26"/>
  <c r="R26"/>
  <c r="AK25"/>
  <c r="AI25"/>
  <c r="AG25"/>
  <c r="AE25"/>
  <c r="AC25"/>
  <c r="V25"/>
  <c r="T25"/>
  <c r="R25"/>
  <c r="AK24"/>
  <c r="AI24"/>
  <c r="AG24"/>
  <c r="AE24"/>
  <c r="AC24"/>
  <c r="V24"/>
  <c r="T24"/>
  <c r="R24"/>
  <c r="AK23"/>
  <c r="AI23"/>
  <c r="AG23"/>
  <c r="AE23"/>
  <c r="AC23"/>
  <c r="V23"/>
  <c r="T23"/>
  <c r="R23"/>
  <c r="AK22"/>
  <c r="AI22"/>
  <c r="AG22"/>
  <c r="AE22"/>
  <c r="AC22"/>
  <c r="V22"/>
  <c r="T22"/>
  <c r="R22"/>
  <c r="AK21"/>
  <c r="AI21"/>
  <c r="AG21"/>
  <c r="AE21"/>
  <c r="AC21"/>
  <c r="V21"/>
  <c r="T21"/>
  <c r="R21"/>
  <c r="AK20"/>
  <c r="AI20"/>
  <c r="AG20"/>
  <c r="AE20"/>
  <c r="AC20"/>
  <c r="V20"/>
  <c r="T20"/>
  <c r="R20"/>
  <c r="AK19"/>
  <c r="AI19"/>
  <c r="AG19"/>
  <c r="AE19"/>
  <c r="AC19"/>
  <c r="V19"/>
  <c r="T19"/>
  <c r="R19"/>
  <c r="AK18"/>
  <c r="AI18"/>
  <c r="AG18"/>
  <c r="AE18"/>
  <c r="AC18"/>
  <c r="V18"/>
  <c r="T18"/>
  <c r="R18"/>
  <c r="AL18" s="1"/>
  <c r="AK17"/>
  <c r="AI17"/>
  <c r="AG17"/>
  <c r="AE17"/>
  <c r="AC17"/>
  <c r="V17"/>
  <c r="T17"/>
  <c r="R17"/>
  <c r="AK16"/>
  <c r="AI16"/>
  <c r="AG16"/>
  <c r="AE16"/>
  <c r="AC16"/>
  <c r="V16"/>
  <c r="T16"/>
  <c r="R16"/>
  <c r="AL16" s="1"/>
  <c r="AK15"/>
  <c r="AI15"/>
  <c r="AG15"/>
  <c r="AE15"/>
  <c r="AC15"/>
  <c r="V15"/>
  <c r="T15"/>
  <c r="R15"/>
  <c r="AK14"/>
  <c r="AI14"/>
  <c r="AG14"/>
  <c r="AE14"/>
  <c r="AC14"/>
  <c r="V14"/>
  <c r="T14"/>
  <c r="R14"/>
  <c r="AK13"/>
  <c r="AI13"/>
  <c r="AG13"/>
  <c r="AE13"/>
  <c r="AC13"/>
  <c r="V13"/>
  <c r="T13"/>
  <c r="R13"/>
  <c r="AK12"/>
  <c r="AI12"/>
  <c r="AG12"/>
  <c r="AE12"/>
  <c r="AC12"/>
  <c r="V12"/>
  <c r="T12"/>
  <c r="R12"/>
  <c r="AL12" s="1"/>
  <c r="AK11"/>
  <c r="AK28" s="1"/>
  <c r="AI11"/>
  <c r="AG11"/>
  <c r="AG28" s="1"/>
  <c r="AE11"/>
  <c r="AC11"/>
  <c r="AC28" s="1"/>
  <c r="V11"/>
  <c r="T11"/>
  <c r="T28" s="1"/>
  <c r="R11"/>
  <c r="AE27" i="2"/>
  <c r="M11" i="11" l="1"/>
  <c r="O11" s="1"/>
  <c r="P11" s="1"/>
  <c r="R28"/>
  <c r="V28"/>
  <c r="AE28"/>
  <c r="AI28"/>
  <c r="AL13"/>
  <c r="M14"/>
  <c r="O14" s="1"/>
  <c r="P14" s="1"/>
  <c r="AL14"/>
  <c r="M15"/>
  <c r="O15" s="1"/>
  <c r="P15" s="1"/>
  <c r="AL15"/>
  <c r="AL17"/>
  <c r="AL19"/>
  <c r="M20"/>
  <c r="O20" s="1"/>
  <c r="P20" s="1"/>
  <c r="AL20"/>
  <c r="M21"/>
  <c r="O21" s="1"/>
  <c r="P21" s="1"/>
  <c r="AL21"/>
  <c r="M22"/>
  <c r="O22" s="1"/>
  <c r="P22" s="1"/>
  <c r="AL22"/>
  <c r="M23"/>
  <c r="O23" s="1"/>
  <c r="P23" s="1"/>
  <c r="AL23"/>
  <c r="M24"/>
  <c r="O24" s="1"/>
  <c r="P24" s="1"/>
  <c r="AL24"/>
  <c r="M25"/>
  <c r="O25" s="1"/>
  <c r="P25" s="1"/>
  <c r="AL25"/>
  <c r="M26"/>
  <c r="O26" s="1"/>
  <c r="P26" s="1"/>
  <c r="AL26"/>
  <c r="AL11"/>
  <c r="M12"/>
  <c r="M13"/>
  <c r="M16"/>
  <c r="M17"/>
  <c r="M18"/>
  <c r="M19"/>
  <c r="M27"/>
  <c r="J28"/>
  <c r="AL28" l="1"/>
  <c r="O27"/>
  <c r="P27" s="1"/>
  <c r="O18"/>
  <c r="P18" s="1"/>
  <c r="O16"/>
  <c r="P16" s="1"/>
  <c r="O12"/>
  <c r="P12" s="1"/>
  <c r="M28"/>
  <c r="O19"/>
  <c r="P19" s="1"/>
  <c r="O17"/>
  <c r="P17" s="1"/>
  <c r="O13"/>
  <c r="P13" s="1"/>
  <c r="L28"/>
  <c r="AP26"/>
  <c r="AM26"/>
  <c r="AN26" s="1"/>
  <c r="AP25"/>
  <c r="AM25"/>
  <c r="AN25" s="1"/>
  <c r="AP24"/>
  <c r="AM24"/>
  <c r="AN24" s="1"/>
  <c r="AP23"/>
  <c r="AM23"/>
  <c r="AN23" s="1"/>
  <c r="AP22"/>
  <c r="AM22"/>
  <c r="AN22" s="1"/>
  <c r="AP21"/>
  <c r="AM21"/>
  <c r="AN21" s="1"/>
  <c r="AP20"/>
  <c r="AM20"/>
  <c r="AN20" s="1"/>
  <c r="AP15"/>
  <c r="AM15"/>
  <c r="AN15" s="1"/>
  <c r="AP14"/>
  <c r="AM14"/>
  <c r="AN14" s="1"/>
  <c r="AP11"/>
  <c r="AM11"/>
  <c r="N47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Q47"/>
  <c r="S47"/>
  <c r="AK30"/>
  <c r="AI30"/>
  <c r="AG30"/>
  <c r="AE30"/>
  <c r="AC30"/>
  <c r="V30"/>
  <c r="T30"/>
  <c r="J30"/>
  <c r="O28" i="11" l="1"/>
  <c r="AQ14"/>
  <c r="AQ15"/>
  <c r="AQ20"/>
  <c r="AQ21"/>
  <c r="AQ22"/>
  <c r="AQ23"/>
  <c r="AQ24"/>
  <c r="AQ25"/>
  <c r="AQ26"/>
  <c r="AP19"/>
  <c r="AM19"/>
  <c r="AN19" s="1"/>
  <c r="AP12"/>
  <c r="AM12"/>
  <c r="AN12" s="1"/>
  <c r="P28"/>
  <c r="AP18"/>
  <c r="AM18"/>
  <c r="AN18" s="1"/>
  <c r="AP16"/>
  <c r="AM16"/>
  <c r="AN16" s="1"/>
  <c r="AP27"/>
  <c r="AM27"/>
  <c r="AN27" s="1"/>
  <c r="AN11"/>
  <c r="AP13"/>
  <c r="AM13"/>
  <c r="AN13" s="1"/>
  <c r="AP17"/>
  <c r="AM17"/>
  <c r="AN17" s="1"/>
  <c r="AL30" i="2"/>
  <c r="R47"/>
  <c r="L30"/>
  <c r="M30" s="1"/>
  <c r="R48" i="3"/>
  <c r="Q48"/>
  <c r="P48"/>
  <c r="O48"/>
  <c r="N48"/>
  <c r="M48"/>
  <c r="L48"/>
  <c r="I44"/>
  <c r="S44" s="1"/>
  <c r="I43"/>
  <c r="S43" s="1"/>
  <c r="I42"/>
  <c r="I41"/>
  <c r="S41" s="1"/>
  <c r="I40"/>
  <c r="S40" s="1"/>
  <c r="I39"/>
  <c r="S39" s="1"/>
  <c r="I38"/>
  <c r="S38" s="1"/>
  <c r="I37"/>
  <c r="S37" s="1"/>
  <c r="I36"/>
  <c r="I35"/>
  <c r="I34"/>
  <c r="I33"/>
  <c r="I32"/>
  <c r="I31"/>
  <c r="S31" s="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S13" s="1"/>
  <c r="I12"/>
  <c r="AO47" i="2"/>
  <c r="AJ47"/>
  <c r="AH47"/>
  <c r="AF47"/>
  <c r="AD47"/>
  <c r="AB47"/>
  <c r="Y47"/>
  <c r="X47"/>
  <c r="U47"/>
  <c r="K47"/>
  <c r="I47"/>
  <c r="AP46"/>
  <c r="AK46"/>
  <c r="AI46"/>
  <c r="AG46"/>
  <c r="AE46"/>
  <c r="AC46"/>
  <c r="V46"/>
  <c r="T46"/>
  <c r="AL46" s="1"/>
  <c r="J46"/>
  <c r="L46" s="1"/>
  <c r="AP45"/>
  <c r="AK45"/>
  <c r="AI45"/>
  <c r="AG45"/>
  <c r="AE45"/>
  <c r="AC45"/>
  <c r="V45"/>
  <c r="T45"/>
  <c r="J45"/>
  <c r="L45" s="1"/>
  <c r="AP44"/>
  <c r="AK44"/>
  <c r="AI44"/>
  <c r="AG44"/>
  <c r="AE44"/>
  <c r="AC44"/>
  <c r="V44"/>
  <c r="T44"/>
  <c r="J44"/>
  <c r="L44" s="1"/>
  <c r="AP43"/>
  <c r="AK43"/>
  <c r="AI43"/>
  <c r="AG43"/>
  <c r="AE43"/>
  <c r="AC43"/>
  <c r="V43"/>
  <c r="T43"/>
  <c r="L43"/>
  <c r="J43"/>
  <c r="AP42"/>
  <c r="AK42"/>
  <c r="AI42"/>
  <c r="AG42"/>
  <c r="AE42"/>
  <c r="AC42"/>
  <c r="V42"/>
  <c r="T42"/>
  <c r="J42"/>
  <c r="L42" s="1"/>
  <c r="AP41"/>
  <c r="AK41"/>
  <c r="AI41"/>
  <c r="AG41"/>
  <c r="AE41"/>
  <c r="AC41"/>
  <c r="V41"/>
  <c r="T41"/>
  <c r="AL41" s="1"/>
  <c r="J41"/>
  <c r="AK40"/>
  <c r="AI40"/>
  <c r="AE40"/>
  <c r="AC40"/>
  <c r="V40"/>
  <c r="T40"/>
  <c r="J40"/>
  <c r="AK39"/>
  <c r="AI39"/>
  <c r="AE39"/>
  <c r="AC39"/>
  <c r="V39"/>
  <c r="T39"/>
  <c r="AL39" s="1"/>
  <c r="J39"/>
  <c r="L39" s="1"/>
  <c r="AP38"/>
  <c r="AK38"/>
  <c r="AI38"/>
  <c r="AG38"/>
  <c r="AE38"/>
  <c r="AC38"/>
  <c r="V38"/>
  <c r="T38"/>
  <c r="J38"/>
  <c r="AP37"/>
  <c r="AK37"/>
  <c r="AI37"/>
  <c r="AG37"/>
  <c r="AE37"/>
  <c r="AC37"/>
  <c r="V37"/>
  <c r="T37"/>
  <c r="J37"/>
  <c r="L37" s="1"/>
  <c r="AK36"/>
  <c r="AI36"/>
  <c r="AG36"/>
  <c r="AE36"/>
  <c r="AC36"/>
  <c r="V36"/>
  <c r="T36"/>
  <c r="J36"/>
  <c r="L36" s="1"/>
  <c r="AK35"/>
  <c r="AI35"/>
  <c r="AG35"/>
  <c r="AE35"/>
  <c r="AC35"/>
  <c r="V35"/>
  <c r="T35"/>
  <c r="J35"/>
  <c r="L35" s="1"/>
  <c r="AK34"/>
  <c r="AI34"/>
  <c r="AG34"/>
  <c r="AE34"/>
  <c r="AC34"/>
  <c r="V34"/>
  <c r="T34"/>
  <c r="J34"/>
  <c r="L34" s="1"/>
  <c r="AK33"/>
  <c r="AI33"/>
  <c r="AG33"/>
  <c r="AE33"/>
  <c r="AC33"/>
  <c r="V33"/>
  <c r="T33"/>
  <c r="J33"/>
  <c r="L33" s="1"/>
  <c r="AK32"/>
  <c r="AI32"/>
  <c r="AG32"/>
  <c r="AE32"/>
  <c r="AC32"/>
  <c r="V32"/>
  <c r="T32"/>
  <c r="AL32" s="1"/>
  <c r="J32"/>
  <c r="L32" s="1"/>
  <c r="AK31"/>
  <c r="AI31"/>
  <c r="AG31"/>
  <c r="AE31"/>
  <c r="AC31"/>
  <c r="V31"/>
  <c r="T31"/>
  <c r="J31"/>
  <c r="AK29"/>
  <c r="AI29"/>
  <c r="AG29"/>
  <c r="AE29"/>
  <c r="AC29"/>
  <c r="V29"/>
  <c r="T29"/>
  <c r="J29"/>
  <c r="AK28"/>
  <c r="AI28"/>
  <c r="AG28"/>
  <c r="AE28"/>
  <c r="AC28"/>
  <c r="V28"/>
  <c r="T28"/>
  <c r="J28"/>
  <c r="L28" s="1"/>
  <c r="AK27"/>
  <c r="AI27"/>
  <c r="AG27"/>
  <c r="AC27"/>
  <c r="V27"/>
  <c r="T27"/>
  <c r="J27"/>
  <c r="AK26"/>
  <c r="AI26"/>
  <c r="AG26"/>
  <c r="AE26"/>
  <c r="AC26"/>
  <c r="V26"/>
  <c r="T26"/>
  <c r="J26"/>
  <c r="L26" s="1"/>
  <c r="AK25"/>
  <c r="AI25"/>
  <c r="AG25"/>
  <c r="AE25"/>
  <c r="AC25"/>
  <c r="V25"/>
  <c r="T25"/>
  <c r="J25"/>
  <c r="AK24"/>
  <c r="AI24"/>
  <c r="AG24"/>
  <c r="AE24"/>
  <c r="AC24"/>
  <c r="V24"/>
  <c r="T24"/>
  <c r="J24"/>
  <c r="L24" s="1"/>
  <c r="AK23"/>
  <c r="AI23"/>
  <c r="AG23"/>
  <c r="AE23"/>
  <c r="AC23"/>
  <c r="V23"/>
  <c r="T23"/>
  <c r="J23"/>
  <c r="AK22"/>
  <c r="AI22"/>
  <c r="AG22"/>
  <c r="AE22"/>
  <c r="AC22"/>
  <c r="V22"/>
  <c r="T22"/>
  <c r="J22"/>
  <c r="AK21"/>
  <c r="AI21"/>
  <c r="AG21"/>
  <c r="AE21"/>
  <c r="AC21"/>
  <c r="V21"/>
  <c r="T21"/>
  <c r="J21"/>
  <c r="AK20"/>
  <c r="AI20"/>
  <c r="AG20"/>
  <c r="AE20"/>
  <c r="AC20"/>
  <c r="V20"/>
  <c r="T20"/>
  <c r="J20"/>
  <c r="L20" s="1"/>
  <c r="AK19"/>
  <c r="AI19"/>
  <c r="AG19"/>
  <c r="AE19"/>
  <c r="AC19"/>
  <c r="V19"/>
  <c r="T19"/>
  <c r="J19"/>
  <c r="AK18"/>
  <c r="AI18"/>
  <c r="AG18"/>
  <c r="AE18"/>
  <c r="AC18"/>
  <c r="V18"/>
  <c r="T18"/>
  <c r="J18"/>
  <c r="L18" s="1"/>
  <c r="AK17"/>
  <c r="AI17"/>
  <c r="AG17"/>
  <c r="AE17"/>
  <c r="AC17"/>
  <c r="V17"/>
  <c r="T17"/>
  <c r="J17"/>
  <c r="AK16"/>
  <c r="AI16"/>
  <c r="AG16"/>
  <c r="AE16"/>
  <c r="AC16"/>
  <c r="V16"/>
  <c r="T16"/>
  <c r="J16"/>
  <c r="L16" s="1"/>
  <c r="AK15"/>
  <c r="AI15"/>
  <c r="AG15"/>
  <c r="AE15"/>
  <c r="AC15"/>
  <c r="V15"/>
  <c r="T15"/>
  <c r="J15"/>
  <c r="AK14"/>
  <c r="AI14"/>
  <c r="AG14"/>
  <c r="AE14"/>
  <c r="AC14"/>
  <c r="V14"/>
  <c r="T14"/>
  <c r="J14"/>
  <c r="L14" s="1"/>
  <c r="AK13"/>
  <c r="AI13"/>
  <c r="AG13"/>
  <c r="AE13"/>
  <c r="AC13"/>
  <c r="V13"/>
  <c r="T13"/>
  <c r="J13"/>
  <c r="L13" s="1"/>
  <c r="AK12"/>
  <c r="AI12"/>
  <c r="AG12"/>
  <c r="AE12"/>
  <c r="AC12"/>
  <c r="V12"/>
  <c r="T12"/>
  <c r="J12"/>
  <c r="AK11"/>
  <c r="AK47" s="1"/>
  <c r="AI11"/>
  <c r="AG11"/>
  <c r="AG47" s="1"/>
  <c r="AE11"/>
  <c r="AC11"/>
  <c r="AC47" s="1"/>
  <c r="V11"/>
  <c r="T11"/>
  <c r="T47" s="1"/>
  <c r="J11"/>
  <c r="K30" i="3" l="1"/>
  <c r="S30" s="1"/>
  <c r="S32"/>
  <c r="K34"/>
  <c r="S34" s="1"/>
  <c r="K36"/>
  <c r="S36" s="1"/>
  <c r="K33"/>
  <c r="S33" s="1"/>
  <c r="K35"/>
  <c r="S35" s="1"/>
  <c r="AP28" i="11"/>
  <c r="AQ27"/>
  <c r="AQ16"/>
  <c r="AQ17"/>
  <c r="AQ13"/>
  <c r="AQ12"/>
  <c r="AQ19"/>
  <c r="AN28"/>
  <c r="AQ11"/>
  <c r="AQ18"/>
  <c r="AM28"/>
  <c r="AL12" i="2"/>
  <c r="AL14"/>
  <c r="AL15"/>
  <c r="AL16"/>
  <c r="AL17"/>
  <c r="AL18"/>
  <c r="AL19"/>
  <c r="AL20"/>
  <c r="AL21"/>
  <c r="AL22"/>
  <c r="AL23"/>
  <c r="AL24"/>
  <c r="AL26"/>
  <c r="AL31"/>
  <c r="J47"/>
  <c r="V47"/>
  <c r="AI47"/>
  <c r="AL28"/>
  <c r="AL34"/>
  <c r="AL35"/>
  <c r="AL36"/>
  <c r="AL37"/>
  <c r="AL40"/>
  <c r="AL42"/>
  <c r="AL27"/>
  <c r="AE47"/>
  <c r="AL25"/>
  <c r="AL13"/>
  <c r="J15" i="3"/>
  <c r="K15" s="1"/>
  <c r="S15" s="1"/>
  <c r="J19"/>
  <c r="K19" s="1"/>
  <c r="J21"/>
  <c r="K21" s="1"/>
  <c r="J23"/>
  <c r="K23" s="1"/>
  <c r="J25"/>
  <c r="J27"/>
  <c r="K27" s="1"/>
  <c r="J29"/>
  <c r="K29" s="1"/>
  <c r="S29" s="1"/>
  <c r="J12"/>
  <c r="J14"/>
  <c r="K14" s="1"/>
  <c r="J16"/>
  <c r="J18"/>
  <c r="K18" s="1"/>
  <c r="J20"/>
  <c r="K20" s="1"/>
  <c r="J22"/>
  <c r="K22" s="1"/>
  <c r="J24"/>
  <c r="K24" s="1"/>
  <c r="J26"/>
  <c r="K26" s="1"/>
  <c r="J28"/>
  <c r="K28" s="1"/>
  <c r="J17"/>
  <c r="K17" s="1"/>
  <c r="O30" i="2"/>
  <c r="P30" s="1"/>
  <c r="AL11"/>
  <c r="AL44"/>
  <c r="M36"/>
  <c r="M35"/>
  <c r="M34"/>
  <c r="M32"/>
  <c r="L31"/>
  <c r="M31" s="1"/>
  <c r="AL29"/>
  <c r="L29"/>
  <c r="M29" s="1"/>
  <c r="O29" s="1"/>
  <c r="P29" s="1"/>
  <c r="M28"/>
  <c r="L27"/>
  <c r="M27" s="1"/>
  <c r="M26"/>
  <c r="L25"/>
  <c r="M25" s="1"/>
  <c r="M24"/>
  <c r="L23"/>
  <c r="M23" s="1"/>
  <c r="M20"/>
  <c r="L19"/>
  <c r="M19" s="1"/>
  <c r="M18"/>
  <c r="L17"/>
  <c r="M17" s="1"/>
  <c r="M16"/>
  <c r="L15"/>
  <c r="M15" s="1"/>
  <c r="M14"/>
  <c r="M13"/>
  <c r="L12"/>
  <c r="M12" s="1"/>
  <c r="L11"/>
  <c r="M11" s="1"/>
  <c r="M43"/>
  <c r="O43" s="1"/>
  <c r="P43" s="1"/>
  <c r="AL43"/>
  <c r="M45"/>
  <c r="O45" s="1"/>
  <c r="P45" s="1"/>
  <c r="AL45"/>
  <c r="M42"/>
  <c r="M44"/>
  <c r="M46"/>
  <c r="L41"/>
  <c r="M41" s="1"/>
  <c r="M39"/>
  <c r="AL38"/>
  <c r="L38"/>
  <c r="M38" s="1"/>
  <c r="O38" s="1"/>
  <c r="P38" s="1"/>
  <c r="M37"/>
  <c r="L21"/>
  <c r="M21" s="1"/>
  <c r="AL33"/>
  <c r="M33"/>
  <c r="O33" s="1"/>
  <c r="P33" s="1"/>
  <c r="L22"/>
  <c r="M22" s="1"/>
  <c r="I48" i="3"/>
  <c r="L40" i="2"/>
  <c r="M40" s="1"/>
  <c r="S21" i="3" l="1"/>
  <c r="K25"/>
  <c r="S25" s="1"/>
  <c r="S27"/>
  <c r="S23"/>
  <c r="S19"/>
  <c r="S28"/>
  <c r="S26"/>
  <c r="S24"/>
  <c r="S22"/>
  <c r="S20"/>
  <c r="S18"/>
  <c r="K16"/>
  <c r="S16" s="1"/>
  <c r="S14"/>
  <c r="K12"/>
  <c r="K48" s="1"/>
  <c r="J48"/>
  <c r="S17"/>
  <c r="AQ28" i="11"/>
  <c r="AM45" i="2"/>
  <c r="AM43"/>
  <c r="AN43" s="1"/>
  <c r="AQ43" s="1"/>
  <c r="O41"/>
  <c r="P41" s="1"/>
  <c r="AM41" s="1"/>
  <c r="AN41" s="1"/>
  <c r="AQ41" s="1"/>
  <c r="O46"/>
  <c r="P46" s="1"/>
  <c r="AM46" s="1"/>
  <c r="AN46" s="1"/>
  <c r="AQ46" s="1"/>
  <c r="O40"/>
  <c r="P40" s="1"/>
  <c r="AP33"/>
  <c r="AM33"/>
  <c r="AN33" s="1"/>
  <c r="O39"/>
  <c r="P39" s="1"/>
  <c r="O44"/>
  <c r="P44" s="1"/>
  <c r="AM44" s="1"/>
  <c r="AN44" s="1"/>
  <c r="AQ44" s="1"/>
  <c r="AM38"/>
  <c r="O37"/>
  <c r="P37" s="1"/>
  <c r="AM37" s="1"/>
  <c r="AN37" s="1"/>
  <c r="AQ37" s="1"/>
  <c r="O42"/>
  <c r="P42" s="1"/>
  <c r="AM42" s="1"/>
  <c r="AN42" s="1"/>
  <c r="AQ42" s="1"/>
  <c r="O31"/>
  <c r="P31" s="1"/>
  <c r="P23"/>
  <c r="O23"/>
  <c r="O21"/>
  <c r="P21" s="1"/>
  <c r="O11"/>
  <c r="P11" s="1"/>
  <c r="O13"/>
  <c r="P13" s="1"/>
  <c r="O17"/>
  <c r="P17" s="1"/>
  <c r="O19"/>
  <c r="P19" s="1"/>
  <c r="O24"/>
  <c r="P24" s="1"/>
  <c r="O26"/>
  <c r="P26" s="1"/>
  <c r="O28"/>
  <c r="P28" s="1"/>
  <c r="AP30"/>
  <c r="AM30"/>
  <c r="AN30" s="1"/>
  <c r="O22"/>
  <c r="P22" s="1"/>
  <c r="O12"/>
  <c r="P12" s="1"/>
  <c r="O14"/>
  <c r="P14" s="1"/>
  <c r="O18"/>
  <c r="P18" s="1"/>
  <c r="O20"/>
  <c r="P20" s="1"/>
  <c r="O25"/>
  <c r="P25" s="1"/>
  <c r="O27"/>
  <c r="P27" s="1"/>
  <c r="AP29"/>
  <c r="AM29"/>
  <c r="AN29" s="1"/>
  <c r="O15"/>
  <c r="P15" s="1"/>
  <c r="O16"/>
  <c r="P16" s="1"/>
  <c r="O32"/>
  <c r="O35"/>
  <c r="P35" s="1"/>
  <c r="O34"/>
  <c r="P34" s="1"/>
  <c r="O36"/>
  <c r="P36" s="1"/>
  <c r="AN38"/>
  <c r="AQ38" s="1"/>
  <c r="AL47"/>
  <c r="AN45"/>
  <c r="AQ45" s="1"/>
  <c r="M47"/>
  <c r="L47"/>
  <c r="S12" i="3" l="1"/>
  <c r="S48" s="1"/>
  <c r="AQ33" i="2"/>
  <c r="AQ29"/>
  <c r="AP31"/>
  <c r="AM31"/>
  <c r="AN31" s="1"/>
  <c r="AQ31" s="1"/>
  <c r="AP36"/>
  <c r="AM36"/>
  <c r="AN36" s="1"/>
  <c r="AQ36" s="1"/>
  <c r="AP39"/>
  <c r="AM39"/>
  <c r="AN39" s="1"/>
  <c r="AP34"/>
  <c r="AM34"/>
  <c r="AN34" s="1"/>
  <c r="AQ34" s="1"/>
  <c r="AP35"/>
  <c r="AM35"/>
  <c r="AN35" s="1"/>
  <c r="AQ35" s="1"/>
  <c r="AM40"/>
  <c r="AN40" s="1"/>
  <c r="AP40"/>
  <c r="AP24"/>
  <c r="AM24"/>
  <c r="AP11"/>
  <c r="AM11"/>
  <c r="AP15"/>
  <c r="AM15"/>
  <c r="AP27"/>
  <c r="AM27"/>
  <c r="AP25"/>
  <c r="AM25"/>
  <c r="AP20"/>
  <c r="AM20"/>
  <c r="AP14"/>
  <c r="AM14"/>
  <c r="AP12"/>
  <c r="AM12"/>
  <c r="AN12" s="1"/>
  <c r="AQ12" s="1"/>
  <c r="AP22"/>
  <c r="AM22"/>
  <c r="AM19"/>
  <c r="AP19"/>
  <c r="AP23"/>
  <c r="AM23"/>
  <c r="AM28"/>
  <c r="AP28"/>
  <c r="AP26"/>
  <c r="AM26"/>
  <c r="AM17"/>
  <c r="AP17"/>
  <c r="AM13"/>
  <c r="AP13"/>
  <c r="AP21"/>
  <c r="AM21"/>
  <c r="AQ30"/>
  <c r="AP18"/>
  <c r="AM18"/>
  <c r="AP16"/>
  <c r="AM16"/>
  <c r="P32"/>
  <c r="O47"/>
  <c r="AN11"/>
  <c r="AQ39" l="1"/>
  <c r="P47"/>
  <c r="AP32"/>
  <c r="AM32"/>
  <c r="AN32" s="1"/>
  <c r="AP47"/>
  <c r="AQ40"/>
  <c r="AN21"/>
  <c r="AQ21" s="1"/>
  <c r="AN26"/>
  <c r="AQ26" s="1"/>
  <c r="AN23"/>
  <c r="AQ23" s="1"/>
  <c r="AN22"/>
  <c r="AQ22" s="1"/>
  <c r="AN14"/>
  <c r="AQ14" s="1"/>
  <c r="AN20"/>
  <c r="AQ20" s="1"/>
  <c r="AN25"/>
  <c r="AQ25" s="1"/>
  <c r="AN27"/>
  <c r="AQ27" s="1"/>
  <c r="AN15"/>
  <c r="AQ15" s="1"/>
  <c r="AN24"/>
  <c r="AQ24" s="1"/>
  <c r="AN18"/>
  <c r="AQ18" s="1"/>
  <c r="AN13"/>
  <c r="AQ13" s="1"/>
  <c r="AN17"/>
  <c r="AQ17" s="1"/>
  <c r="AN28"/>
  <c r="AQ28" s="1"/>
  <c r="AN19"/>
  <c r="AQ19" s="1"/>
  <c r="AM47"/>
  <c r="AN16"/>
  <c r="AQ16" s="1"/>
  <c r="AQ11"/>
  <c r="AQ32" l="1"/>
  <c r="AQ47" s="1"/>
  <c r="AN47"/>
</calcChain>
</file>

<file path=xl/sharedStrings.xml><?xml version="1.0" encoding="utf-8"?>
<sst xmlns="http://schemas.openxmlformats.org/spreadsheetml/2006/main" count="520" uniqueCount="161">
  <si>
    <t>Тарификационный список по ГККП Аршалынский детский сад "Светлячок"</t>
  </si>
  <si>
    <t>БДО</t>
  </si>
  <si>
    <r>
      <t xml:space="preserve">№№ </t>
    </r>
    <r>
      <rPr>
        <sz val="11"/>
        <color theme="1"/>
        <rFont val="Calibri"/>
        <family val="2"/>
        <charset val="204"/>
        <scheme val="minor"/>
      </rPr>
      <t>п\п</t>
    </r>
  </si>
  <si>
    <t>Ф.И.О</t>
  </si>
  <si>
    <t xml:space="preserve">Наименование должности </t>
  </si>
  <si>
    <t>образование</t>
  </si>
  <si>
    <t>штатные единицы</t>
  </si>
  <si>
    <t>сумма</t>
  </si>
  <si>
    <t>25% сельские</t>
  </si>
  <si>
    <t>всего з\плата с учетом 25%</t>
  </si>
  <si>
    <t>Всего зарплата в месяц</t>
  </si>
  <si>
    <t>всего за год</t>
  </si>
  <si>
    <t>Оздоровительные</t>
  </si>
  <si>
    <t>блок</t>
  </si>
  <si>
    <t>Квалификационный разряд</t>
  </si>
  <si>
    <t>Стаж</t>
  </si>
  <si>
    <t>Коэфф для исчисл з\пл</t>
  </si>
  <si>
    <t>За квалиф. категорию</t>
  </si>
  <si>
    <t>доплата за компьютер</t>
  </si>
  <si>
    <t>Праздничные</t>
  </si>
  <si>
    <t>Ночные</t>
  </si>
  <si>
    <t>всего доплат</t>
  </si>
  <si>
    <t>процент</t>
  </si>
  <si>
    <t>Сумма</t>
  </si>
  <si>
    <t>к-во</t>
  </si>
  <si>
    <t>Ставка</t>
  </si>
  <si>
    <t>К-во днеи</t>
  </si>
  <si>
    <t>ставка</t>
  </si>
  <si>
    <t>Муканова Е.А.</t>
  </si>
  <si>
    <t xml:space="preserve">Завед </t>
  </si>
  <si>
    <t>Высшее</t>
  </si>
  <si>
    <t>А1-3-1</t>
  </si>
  <si>
    <t>Бакулина Н.И.</t>
  </si>
  <si>
    <t>Бухгалтер</t>
  </si>
  <si>
    <t>С-2</t>
  </si>
  <si>
    <t>Айкумбекова Р.Н.</t>
  </si>
  <si>
    <t>уч.рус.яз</t>
  </si>
  <si>
    <t>ср.спец</t>
  </si>
  <si>
    <t>уч.каз.яз</t>
  </si>
  <si>
    <t>Виноградов С.О.</t>
  </si>
  <si>
    <t>Муз рук</t>
  </si>
  <si>
    <t>В3-2</t>
  </si>
  <si>
    <t>вакансия</t>
  </si>
  <si>
    <t>педагог - психолог</t>
  </si>
  <si>
    <t>Жармухамбетова С.Т.</t>
  </si>
  <si>
    <t>Воспитатель</t>
  </si>
  <si>
    <t>Сарвета Л.С.</t>
  </si>
  <si>
    <t>Череповская С.В.</t>
  </si>
  <si>
    <t>Имбишева Ж.</t>
  </si>
  <si>
    <t>Сагимбаева Ж.Ж.</t>
  </si>
  <si>
    <t>Новикова В.В.</t>
  </si>
  <si>
    <t>В4-2</t>
  </si>
  <si>
    <t>Приб Н.М.</t>
  </si>
  <si>
    <t>Объедкова С.П.</t>
  </si>
  <si>
    <t>B4-2</t>
  </si>
  <si>
    <t>Тналина Ш.А.</t>
  </si>
  <si>
    <t>Тлеубердинова А.З.</t>
  </si>
  <si>
    <t>В4-3</t>
  </si>
  <si>
    <t>методист</t>
  </si>
  <si>
    <t>В4-4</t>
  </si>
  <si>
    <t>Мед. Сестра</t>
  </si>
  <si>
    <t>Писарева В.П.</t>
  </si>
  <si>
    <t>Завхоз</t>
  </si>
  <si>
    <t>С-3</t>
  </si>
  <si>
    <t>Едигарова Р.А.</t>
  </si>
  <si>
    <t>Пом. Воспит</t>
  </si>
  <si>
    <t>D</t>
  </si>
  <si>
    <t>Альмаганбетова О.Ю.</t>
  </si>
  <si>
    <t>Утетлеуова К.У.</t>
  </si>
  <si>
    <t>Козлова Н.В.</t>
  </si>
  <si>
    <t>техничка</t>
  </si>
  <si>
    <t>Бабаяну А.К.</t>
  </si>
  <si>
    <t>Раб по обсл  зд</t>
  </si>
  <si>
    <t>повар</t>
  </si>
  <si>
    <t>Иванова Н.В.</t>
  </si>
  <si>
    <t>5р</t>
  </si>
  <si>
    <t>Шатохина В.А.</t>
  </si>
  <si>
    <t>Опер стир Маш</t>
  </si>
  <si>
    <t>2р</t>
  </si>
  <si>
    <t>подсобный рабочий</t>
  </si>
  <si>
    <t>кастелянша</t>
  </si>
  <si>
    <t>Шатохин В.П.</t>
  </si>
  <si>
    <t>сторож</t>
  </si>
  <si>
    <t>Муканов А.М.</t>
  </si>
  <si>
    <t>Итого:</t>
  </si>
  <si>
    <t xml:space="preserve">Экономист:   </t>
  </si>
  <si>
    <t xml:space="preserve">Заведующая д/с:          </t>
  </si>
  <si>
    <t xml:space="preserve">Бухгалтер :                 </t>
  </si>
  <si>
    <t>Суртаева А.С.</t>
  </si>
  <si>
    <t>Асадулина Е.В.</t>
  </si>
  <si>
    <t>«Утверждаю»</t>
  </si>
  <si>
    <t xml:space="preserve">Утверждаю  </t>
  </si>
  <si>
    <t>Штатное расписание по ГККП Аршалынский детский сад "Светлячок"</t>
  </si>
  <si>
    <t xml:space="preserve"> </t>
  </si>
  <si>
    <t>численность детей составляет:   102</t>
  </si>
  <si>
    <t>групп комплектов ____5    __________</t>
  </si>
  <si>
    <t>колич.</t>
  </si>
  <si>
    <t>тарифная</t>
  </si>
  <si>
    <t>Доплаты</t>
  </si>
  <si>
    <t>№</t>
  </si>
  <si>
    <t>Наименование</t>
  </si>
  <si>
    <t>обра</t>
  </si>
  <si>
    <t>кате</t>
  </si>
  <si>
    <t>тариф.</t>
  </si>
  <si>
    <t>штатных</t>
  </si>
  <si>
    <t>часть без</t>
  </si>
  <si>
    <t xml:space="preserve">итого </t>
  </si>
  <si>
    <t>п/п</t>
  </si>
  <si>
    <t>должности</t>
  </si>
  <si>
    <t>зование</t>
  </si>
  <si>
    <t>гория</t>
  </si>
  <si>
    <t>стаж</t>
  </si>
  <si>
    <t>коэф.</t>
  </si>
  <si>
    <t>ед.</t>
  </si>
  <si>
    <t>доплат</t>
  </si>
  <si>
    <t>сельских</t>
  </si>
  <si>
    <t>ночные</t>
  </si>
  <si>
    <t>праздне-</t>
  </si>
  <si>
    <t>зараб. плата в</t>
  </si>
  <si>
    <t>чные</t>
  </si>
  <si>
    <t>месяц</t>
  </si>
  <si>
    <t>Заведующая:</t>
  </si>
  <si>
    <t>В3-3</t>
  </si>
  <si>
    <t>И.О.Руководителя  ГУ "Отдел образования Аршалынского района"</t>
  </si>
  <si>
    <t>И.О.Руководителя  ГУ "ОО Аршалынского района"</t>
  </si>
  <si>
    <t>Әбіләмит А.О.</t>
  </si>
  <si>
    <t>Ауезова С.Е.</t>
  </si>
  <si>
    <t>по состоянию на 01.01.2020года</t>
  </si>
  <si>
    <t>увеличение с 01.01.2020</t>
  </si>
  <si>
    <t>всего годовая зарплата</t>
  </si>
  <si>
    <t>увеличение</t>
  </si>
  <si>
    <t>с 01.01.20</t>
  </si>
  <si>
    <t>35л 13дн.</t>
  </si>
  <si>
    <t>22г11м25д</t>
  </si>
  <si>
    <t>33г6м18дн</t>
  </si>
  <si>
    <t>38л10м2д</t>
  </si>
  <si>
    <t>34г1м 16дн</t>
  </si>
  <si>
    <t xml:space="preserve"> 31г91м2дн</t>
  </si>
  <si>
    <t>32г4м14дн</t>
  </si>
  <si>
    <t>8л9м18д</t>
  </si>
  <si>
    <t>В2-2</t>
  </si>
  <si>
    <t>25л7м 25 дн</t>
  </si>
  <si>
    <t>23г9м</t>
  </si>
  <si>
    <t>17л</t>
  </si>
  <si>
    <t>6л8м29дн</t>
  </si>
  <si>
    <t>20л</t>
  </si>
  <si>
    <t>24г4м18д</t>
  </si>
  <si>
    <t>2 год</t>
  </si>
  <si>
    <t>24г11м10дн</t>
  </si>
  <si>
    <t>27л2м 17дн</t>
  </si>
  <si>
    <t>31л1м10д</t>
  </si>
  <si>
    <t>6л 3м</t>
  </si>
  <si>
    <t>3г</t>
  </si>
  <si>
    <t>19л2м</t>
  </si>
  <si>
    <t>13л1м20д</t>
  </si>
  <si>
    <t>Писарева Л.В.</t>
  </si>
  <si>
    <t>4р</t>
  </si>
  <si>
    <t>_____________    М.Р.Молдахметов</t>
  </si>
  <si>
    <t>«___01__»__09__________2020г.</t>
  </si>
  <si>
    <r>
      <t xml:space="preserve">№№ </t>
    </r>
    <r>
      <rPr>
        <sz val="11"/>
        <rFont val="Calibri"/>
        <family val="2"/>
        <charset val="204"/>
        <scheme val="minor"/>
      </rPr>
      <t>п\п</t>
    </r>
  </si>
  <si>
    <t>Жанабергенова А.Б.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</si>
</sst>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Unicode MS"/>
      <family val="2"/>
      <charset val="204"/>
    </font>
    <font>
      <sz val="8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Arial Cyr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 Cyr"/>
      <charset val="204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" fillId="0" borderId="0" applyFill="0" applyBorder="0" applyAlignment="0" applyProtection="0"/>
  </cellStyleXfs>
  <cellXfs count="164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Fill="1" applyAlignment="1">
      <alignment wrapText="1"/>
    </xf>
    <xf numFmtId="0" fontId="1" fillId="0" borderId="0" xfId="1"/>
    <xf numFmtId="0" fontId="2" fillId="0" borderId="0" xfId="1" applyFont="1" applyFill="1" applyAlignment="1"/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8" fillId="0" borderId="1" xfId="1" applyFont="1" applyBorder="1" applyAlignment="1">
      <alignment wrapText="1"/>
    </xf>
    <xf numFmtId="0" fontId="4" fillId="0" borderId="1" xfId="1" applyNumberFormat="1" applyFont="1" applyBorder="1" applyAlignment="1">
      <alignment wrapText="1"/>
    </xf>
    <xf numFmtId="2" fontId="4" fillId="0" borderId="1" xfId="1" applyNumberFormat="1" applyFont="1" applyFill="1" applyBorder="1" applyAlignment="1">
      <alignment wrapText="1"/>
    </xf>
    <xf numFmtId="1" fontId="4" fillId="0" borderId="1" xfId="1" applyNumberFormat="1" applyFont="1" applyFill="1" applyBorder="1" applyAlignment="1">
      <alignment wrapText="1"/>
    </xf>
    <xf numFmtId="0" fontId="5" fillId="0" borderId="1" xfId="1" applyNumberFormat="1" applyFont="1" applyFill="1" applyBorder="1" applyAlignment="1" applyProtection="1">
      <alignment horizontal="right" wrapText="1"/>
    </xf>
    <xf numFmtId="1" fontId="4" fillId="0" borderId="1" xfId="1" applyNumberFormat="1" applyFont="1" applyFill="1" applyBorder="1" applyAlignment="1">
      <alignment horizontal="right" wrapText="1"/>
    </xf>
    <xf numFmtId="2" fontId="1" fillId="0" borderId="1" xfId="1" applyNumberFormat="1" applyFont="1" applyBorder="1"/>
    <xf numFmtId="0" fontId="1" fillId="0" borderId="0" xfId="1" applyFont="1"/>
    <xf numFmtId="0" fontId="1" fillId="0" borderId="1" xfId="1" applyFont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1" fillId="0" borderId="1" xfId="1" applyNumberFormat="1" applyFont="1" applyBorder="1" applyAlignment="1">
      <alignment wrapText="1"/>
    </xf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right" wrapText="1"/>
    </xf>
    <xf numFmtId="0" fontId="4" fillId="0" borderId="5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4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2" fontId="4" fillId="0" borderId="1" xfId="1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 applyProtection="1">
      <alignment horizontal="right" vertical="center" wrapText="1"/>
    </xf>
    <xf numFmtId="2" fontId="1" fillId="0" borderId="1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1" xfId="1" applyFont="1" applyBorder="1"/>
    <xf numFmtId="2" fontId="10" fillId="0" borderId="1" xfId="1" applyNumberFormat="1" applyFont="1" applyFill="1" applyBorder="1" applyAlignment="1"/>
    <xf numFmtId="1" fontId="10" fillId="0" borderId="1" xfId="1" applyNumberFormat="1" applyFont="1" applyFill="1" applyBorder="1" applyAlignment="1"/>
    <xf numFmtId="0" fontId="11" fillId="0" borderId="0" xfId="1" applyFont="1"/>
    <xf numFmtId="0" fontId="11" fillId="0" borderId="0" xfId="1" applyFont="1" applyAlignment="1">
      <alignment horizontal="left"/>
    </xf>
    <xf numFmtId="0" fontId="0" fillId="0" borderId="0" xfId="0" applyAlignment="1"/>
    <xf numFmtId="0" fontId="3" fillId="0" borderId="0" xfId="1" applyFont="1" applyFill="1" applyAlignment="1">
      <alignment wrapText="1"/>
    </xf>
    <xf numFmtId="0" fontId="9" fillId="0" borderId="0" xfId="1" applyFont="1" applyBorder="1"/>
    <xf numFmtId="2" fontId="10" fillId="0" borderId="0" xfId="1" applyNumberFormat="1" applyFont="1" applyFill="1" applyBorder="1" applyAlignment="1"/>
    <xf numFmtId="1" fontId="10" fillId="0" borderId="0" xfId="1" applyNumberFormat="1" applyFont="1" applyFill="1" applyBorder="1" applyAlignment="1"/>
    <xf numFmtId="0" fontId="4" fillId="0" borderId="0" xfId="2"/>
    <xf numFmtId="0" fontId="12" fillId="0" borderId="0" xfId="1" applyFont="1" applyAlignment="1" applyProtection="1">
      <alignment horizontal="left"/>
      <protection locked="0"/>
    </xf>
    <xf numFmtId="0" fontId="13" fillId="0" borderId="0" xfId="1" applyFont="1" applyBorder="1" applyAlignment="1">
      <alignment wrapText="1"/>
    </xf>
    <xf numFmtId="0" fontId="10" fillId="0" borderId="0" xfId="2" applyFont="1" applyAlignment="1"/>
    <xf numFmtId="0" fontId="4" fillId="0" borderId="0" xfId="2" applyAlignment="1"/>
    <xf numFmtId="0" fontId="10" fillId="0" borderId="0" xfId="2" applyFont="1"/>
    <xf numFmtId="0" fontId="4" fillId="0" borderId="9" xfId="2" applyBorder="1"/>
    <xf numFmtId="0" fontId="10" fillId="0" borderId="9" xfId="2" applyFont="1" applyBorder="1" applyAlignment="1">
      <alignment horizontal="center"/>
    </xf>
    <xf numFmtId="0" fontId="10" fillId="0" borderId="12" xfId="2" applyFont="1" applyBorder="1"/>
    <xf numFmtId="0" fontId="10" fillId="0" borderId="12" xfId="2" applyFont="1" applyBorder="1" applyAlignment="1">
      <alignment horizontal="center"/>
    </xf>
    <xf numFmtId="0" fontId="4" fillId="0" borderId="12" xfId="2" applyBorder="1"/>
    <xf numFmtId="9" fontId="10" fillId="0" borderId="12" xfId="2" applyNumberFormat="1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9" fontId="10" fillId="0" borderId="11" xfId="2" applyNumberFormat="1" applyFont="1" applyBorder="1" applyAlignment="1">
      <alignment horizontal="center"/>
    </xf>
    <xf numFmtId="9" fontId="10" fillId="0" borderId="9" xfId="2" applyNumberFormat="1" applyFont="1" applyBorder="1" applyAlignment="1">
      <alignment horizontal="center"/>
    </xf>
    <xf numFmtId="9" fontId="10" fillId="0" borderId="3" xfId="2" applyNumberFormat="1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0" xfId="2" applyFont="1" applyBorder="1"/>
    <xf numFmtId="0" fontId="10" fillId="0" borderId="14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0" xfId="2" applyFont="1" applyBorder="1"/>
    <xf numFmtId="0" fontId="1" fillId="0" borderId="9" xfId="1" applyFont="1" applyFill="1" applyBorder="1" applyAlignment="1">
      <alignment wrapText="1"/>
    </xf>
    <xf numFmtId="0" fontId="4" fillId="0" borderId="1" xfId="1" applyFont="1" applyBorder="1" applyAlignment="1"/>
    <xf numFmtId="0" fontId="1" fillId="0" borderId="0" xfId="0" applyFont="1"/>
    <xf numFmtId="0" fontId="12" fillId="0" borderId="1" xfId="1" applyFont="1" applyBorder="1" applyAlignment="1"/>
    <xf numFmtId="0" fontId="8" fillId="0" borderId="1" xfId="1" applyFont="1" applyFill="1" applyBorder="1" applyAlignment="1">
      <alignment wrapText="1"/>
    </xf>
    <xf numFmtId="0" fontId="4" fillId="0" borderId="0" xfId="2" applyFont="1"/>
    <xf numFmtId="1" fontId="4" fillId="0" borderId="0" xfId="2" applyNumberFormat="1" applyFont="1"/>
    <xf numFmtId="0" fontId="4" fillId="0" borderId="0" xfId="2" applyFont="1" applyBorder="1"/>
    <xf numFmtId="1" fontId="4" fillId="0" borderId="0" xfId="2" applyNumberFormat="1" applyFont="1" applyBorder="1"/>
    <xf numFmtId="0" fontId="14" fillId="0" borderId="0" xfId="0" applyFont="1" applyAlignment="1"/>
    <xf numFmtId="0" fontId="10" fillId="0" borderId="0" xfId="2" applyFont="1" applyAlignment="1"/>
    <xf numFmtId="0" fontId="10" fillId="0" borderId="0" xfId="2" applyFont="1" applyAlignment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10" fillId="0" borderId="0" xfId="2" applyFont="1" applyAlignment="1"/>
    <xf numFmtId="0" fontId="15" fillId="0" borderId="0" xfId="1" applyFont="1" applyFill="1" applyAlignment="1">
      <alignment wrapText="1"/>
    </xf>
    <xf numFmtId="0" fontId="16" fillId="0" borderId="0" xfId="1" applyFont="1" applyFill="1" applyAlignment="1">
      <alignment wrapText="1"/>
    </xf>
    <xf numFmtId="2" fontId="18" fillId="0" borderId="1" xfId="1" applyNumberFormat="1" applyFont="1" applyFill="1" applyBorder="1" applyAlignment="1"/>
    <xf numFmtId="2" fontId="18" fillId="0" borderId="0" xfId="1" applyNumberFormat="1" applyFont="1" applyFill="1" applyBorder="1" applyAlignment="1"/>
    <xf numFmtId="0" fontId="17" fillId="0" borderId="0" xfId="1" applyFont="1"/>
    <xf numFmtId="0" fontId="12" fillId="0" borderId="1" xfId="1" applyFont="1" applyBorder="1" applyAlignment="1">
      <alignment wrapText="1"/>
    </xf>
    <xf numFmtId="0" fontId="12" fillId="0" borderId="1" xfId="1" applyFont="1" applyFill="1" applyBorder="1" applyAlignment="1">
      <alignment wrapText="1"/>
    </xf>
    <xf numFmtId="0" fontId="19" fillId="0" borderId="1" xfId="1" applyFont="1" applyBorder="1" applyAlignment="1">
      <alignment wrapText="1"/>
    </xf>
    <xf numFmtId="0" fontId="12" fillId="0" borderId="1" xfId="1" applyNumberFormat="1" applyFont="1" applyBorder="1" applyAlignment="1">
      <alignment wrapText="1"/>
    </xf>
    <xf numFmtId="2" fontId="12" fillId="0" borderId="1" xfId="2" applyNumberFormat="1" applyFont="1" applyBorder="1"/>
    <xf numFmtId="1" fontId="12" fillId="0" borderId="1" xfId="1" applyNumberFormat="1" applyFont="1" applyFill="1" applyBorder="1" applyAlignment="1">
      <alignment wrapText="1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12" fillId="0" borderId="10" xfId="2" applyFont="1" applyBorder="1"/>
    <xf numFmtId="0" fontId="13" fillId="0" borderId="8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20" fillId="0" borderId="1" xfId="1" applyFont="1" applyBorder="1" applyAlignment="1">
      <alignment wrapText="1"/>
    </xf>
    <xf numFmtId="0" fontId="20" fillId="0" borderId="1" xfId="1" applyFont="1" applyFill="1" applyBorder="1" applyAlignment="1">
      <alignment wrapText="1"/>
    </xf>
    <xf numFmtId="0" fontId="20" fillId="0" borderId="1" xfId="1" applyNumberFormat="1" applyFont="1" applyBorder="1" applyAlignment="1">
      <alignment wrapText="1"/>
    </xf>
    <xf numFmtId="0" fontId="12" fillId="0" borderId="5" xfId="1" applyFont="1" applyFill="1" applyBorder="1" applyAlignment="1">
      <alignment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1" fontId="12" fillId="0" borderId="1" xfId="1" applyNumberFormat="1" applyFont="1" applyFill="1" applyBorder="1" applyAlignment="1">
      <alignment vertical="center" wrapText="1"/>
    </xf>
    <xf numFmtId="0" fontId="12" fillId="0" borderId="6" xfId="2" applyFont="1" applyBorder="1"/>
    <xf numFmtId="0" fontId="12" fillId="0" borderId="1" xfId="2" applyFont="1" applyBorder="1"/>
    <xf numFmtId="0" fontId="12" fillId="0" borderId="12" xfId="2" applyFont="1" applyBorder="1"/>
    <xf numFmtId="0" fontId="19" fillId="0" borderId="1" xfId="1" applyFont="1" applyFill="1" applyBorder="1" applyAlignment="1">
      <alignment wrapText="1"/>
    </xf>
    <xf numFmtId="1" fontId="12" fillId="0" borderId="1" xfId="2" applyNumberFormat="1" applyFont="1" applyBorder="1"/>
    <xf numFmtId="0" fontId="12" fillId="0" borderId="12" xfId="2" applyFont="1" applyBorder="1" applyAlignment="1">
      <alignment horizontal="center"/>
    </xf>
    <xf numFmtId="0" fontId="21" fillId="0" borderId="1" xfId="1" applyFont="1" applyBorder="1"/>
    <xf numFmtId="2" fontId="13" fillId="0" borderId="1" xfId="1" applyNumberFormat="1" applyFont="1" applyFill="1" applyBorder="1" applyAlignment="1"/>
    <xf numFmtId="2" fontId="13" fillId="0" borderId="1" xfId="2" applyNumberFormat="1" applyFont="1" applyBorder="1"/>
    <xf numFmtId="0" fontId="13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0" fillId="0" borderId="0" xfId="0" applyAlignment="1"/>
    <xf numFmtId="9" fontId="4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0" fontId="2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/>
    <xf numFmtId="0" fontId="0" fillId="0" borderId="0" xfId="0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1" applyFont="1" applyFill="1" applyBorder="1" applyAlignment="1"/>
    <xf numFmtId="0" fontId="22" fillId="0" borderId="0" xfId="0" applyFont="1" applyAlignment="1"/>
    <xf numFmtId="0" fontId="4" fillId="0" borderId="0" xfId="1" applyFont="1" applyFill="1" applyBorder="1" applyAlignment="1">
      <alignment wrapText="1"/>
    </xf>
    <xf numFmtId="0" fontId="10" fillId="0" borderId="11" xfId="2" applyFont="1" applyBorder="1" applyAlignment="1">
      <alignment horizontal="center" wrapText="1"/>
    </xf>
    <xf numFmtId="0" fontId="4" fillId="0" borderId="2" xfId="2" applyBorder="1" applyAlignment="1">
      <alignment horizontal="center" wrapText="1"/>
    </xf>
    <xf numFmtId="0" fontId="4" fillId="0" borderId="3" xfId="2" applyBorder="1" applyAlignment="1">
      <alignment horizontal="center" wrapText="1"/>
    </xf>
    <xf numFmtId="0" fontId="4" fillId="0" borderId="13" xfId="2" applyBorder="1" applyAlignment="1">
      <alignment horizontal="center" wrapText="1"/>
    </xf>
    <xf numFmtId="0" fontId="4" fillId="0" borderId="0" xfId="2" applyBorder="1" applyAlignment="1">
      <alignment horizontal="center" wrapText="1"/>
    </xf>
    <xf numFmtId="0" fontId="4" fillId="0" borderId="8" xfId="2" applyBorder="1" applyAlignment="1">
      <alignment horizontal="center" wrapText="1"/>
    </xf>
    <xf numFmtId="0" fontId="10" fillId="0" borderId="0" xfId="2" applyFont="1" applyAlignmen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91;&#1093;-&#1103;%202018/&#1079;&#1072;&#1088;&#1087;&#1083;&#1072;&#1090;&#1072;/&#1090;&#1072;&#1088;&#1080;&#1092;/&#1073;&#1091;&#1093;-&#1103;%202016/&#1079;&#1072;&#1088;&#1087;&#1083;&#1072;&#1090;&#1072;/&#1090;&#1072;&#1088;&#1080;&#1092;/Users/Serik/Documents/1&#1057;&#1077;&#1088;&#1080;&#1082;/&#1058;&#1072;&#1088;&#1080;&#1092;&#1080;&#1082;&#1072;&#1094;&#1080;&#1080;/&#1058;&#1072;&#1088;&#1080;&#1092;&#1080;&#1082;&#1072;&#1094;&#1080;&#1103;%20&#1085;&#1072;%2001.09.2011&#1075;/&#1050;&#1086;&#1085;&#1089;&#1090;&#1072;&#1085;&#1090;&#1080;&#1085;&#1086;&#1074;&#1089;&#1082;&#1072;&#1103;%20&#1057;&#1064;%20&#1085;&#1072;%2001.09.2011&#1075;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3B5~1/AppData/Local/Temp/Users/&#1055;&#1086;&#1083;&#1100;&#1079;&#1086;&#1074;&#1072;&#1090;&#1077;&#1083;&#1100;/Downloads/Users/Serik/Documents/1&#1057;&#1077;&#1088;&#1080;&#1082;/&#1058;&#1072;&#1088;&#1080;&#1092;&#1080;&#1082;&#1072;&#1094;&#1080;&#1080;/&#1058;&#1072;&#1088;&#1080;&#1092;&#1080;&#1082;&#1072;&#1094;&#1080;&#1103;%20&#1085;&#1072;%2001.09.2011&#1075;/&#1050;&#1086;&#1085;&#1089;&#1090;&#1072;&#1085;&#1090;&#1080;&#1085;&#1086;&#1074;&#1089;&#1082;&#1072;&#1103;%20&#1057;&#1064;%20&#1085;&#1072;%2001.09.2011&#1075;.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нагрузка"/>
      <sheetName val="тетрадь"/>
      <sheetName val="делен_групп"/>
      <sheetName val="фак_кружки"/>
      <sheetName val=" КонстСШ 1.07.2011"/>
      <sheetName val="адм хоз 1.09.2011"/>
      <sheetName val="обучение на дому"/>
    </sheetNames>
    <sheetDataSet>
      <sheetData sheetId="0"/>
      <sheetData sheetId="1"/>
      <sheetData sheetId="2"/>
      <sheetData sheetId="3"/>
      <sheetData sheetId="4"/>
      <sheetData sheetId="5">
        <row r="5">
          <cell r="H5">
            <v>17697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нагрузка"/>
      <sheetName val="тетрадь"/>
      <sheetName val="делен_групп"/>
      <sheetName val="фак_кружки"/>
      <sheetName val=" КонстСШ 1.07.2011"/>
      <sheetName val="адм хоз 1.09.2011"/>
      <sheetName val="обучение на дому"/>
    </sheetNames>
    <sheetDataSet>
      <sheetData sheetId="0"/>
      <sheetData sheetId="1"/>
      <sheetData sheetId="2"/>
      <sheetData sheetId="3"/>
      <sheetData sheetId="4"/>
      <sheetData sheetId="5">
        <row r="5">
          <cell r="H5">
            <v>17697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51"/>
  <sheetViews>
    <sheetView tabSelected="1" zoomScale="90" zoomScaleNormal="90" workbookViewId="0">
      <selection activeCell="B4" sqref="B4:F5"/>
    </sheetView>
  </sheetViews>
  <sheetFormatPr defaultRowHeight="12.75"/>
  <cols>
    <col min="1" max="1" width="5.140625" style="3" customWidth="1"/>
    <col min="2" max="2" width="24.85546875" style="3" customWidth="1"/>
    <col min="3" max="3" width="24.28515625" style="3" customWidth="1"/>
    <col min="4" max="4" width="9.140625" style="3" customWidth="1"/>
    <col min="5" max="5" width="9.7109375" style="3" customWidth="1"/>
    <col min="6" max="6" width="8" style="3" customWidth="1"/>
    <col min="7" max="7" width="11.42578125" style="3" customWidth="1"/>
    <col min="8" max="8" width="8.28515625" style="20" customWidth="1"/>
    <col min="9" max="9" width="7.42578125" style="3" customWidth="1"/>
    <col min="10" max="10" width="16.42578125" style="3" customWidth="1"/>
    <col min="11" max="11" width="9.28515625" style="3" customWidth="1"/>
    <col min="12" max="12" width="11.85546875" style="3" customWidth="1"/>
    <col min="13" max="13" width="15.42578125" style="3" customWidth="1"/>
    <col min="14" max="14" width="9.28515625" style="3" customWidth="1"/>
    <col min="15" max="15" width="11.85546875" style="3" customWidth="1"/>
    <col min="16" max="16" width="15.42578125" style="3" customWidth="1"/>
    <col min="17" max="17" width="9.28515625" style="3" hidden="1" customWidth="1"/>
    <col min="18" max="18" width="12.42578125" style="3" hidden="1" customWidth="1"/>
    <col min="19" max="19" width="6.5703125" style="3" hidden="1" customWidth="1"/>
    <col min="20" max="20" width="7.85546875" style="3" hidden="1" customWidth="1"/>
    <col min="21" max="21" width="6.28515625" style="3" hidden="1" customWidth="1"/>
    <col min="22" max="22" width="9.140625" style="3" hidden="1" customWidth="1"/>
    <col min="23" max="23" width="9.140625" style="3" customWidth="1"/>
    <col min="24" max="24" width="7.85546875" style="3" customWidth="1"/>
    <col min="25" max="25" width="9.28515625" style="3" customWidth="1"/>
    <col min="26" max="26" width="8.28515625" style="3" customWidth="1"/>
    <col min="27" max="27" width="6.42578125" style="3" customWidth="1"/>
    <col min="28" max="28" width="6.28515625" style="3" customWidth="1"/>
    <col min="29" max="29" width="9.140625" style="3" customWidth="1"/>
    <col min="30" max="30" width="6.140625" style="3" customWidth="1"/>
    <col min="31" max="31" width="9.140625" style="3" customWidth="1"/>
    <col min="32" max="32" width="4.85546875" style="3" customWidth="1"/>
    <col min="33" max="33" width="9.140625" style="3" customWidth="1"/>
    <col min="34" max="34" width="5.85546875" style="3" customWidth="1"/>
    <col min="35" max="35" width="11.5703125" style="3" customWidth="1"/>
    <col min="36" max="36" width="6.5703125" style="3" customWidth="1"/>
    <col min="37" max="37" width="9.28515625" style="3" customWidth="1"/>
    <col min="38" max="38" width="9.5703125" style="3" customWidth="1"/>
    <col min="39" max="39" width="14.42578125" style="87" customWidth="1"/>
    <col min="40" max="40" width="13.42578125" style="3" customWidth="1"/>
    <col min="41" max="41" width="6.28515625" style="3" customWidth="1"/>
    <col min="42" max="42" width="11.7109375" style="3" customWidth="1"/>
    <col min="43" max="43" width="13.42578125" style="3" customWidth="1"/>
    <col min="44" max="263" width="9.140625" style="3"/>
    <col min="264" max="264" width="5.140625" style="3" customWidth="1"/>
    <col min="265" max="265" width="24.85546875" style="3" customWidth="1"/>
    <col min="266" max="266" width="19.140625" style="3" customWidth="1"/>
    <col min="267" max="269" width="9.140625" style="3"/>
    <col min="270" max="270" width="11.42578125" style="3" customWidth="1"/>
    <col min="271" max="275" width="9.140625" style="3"/>
    <col min="276" max="276" width="10.28515625" style="3" customWidth="1"/>
    <col min="277" max="278" width="9.140625" style="3"/>
    <col min="279" max="280" width="0" style="3" hidden="1" customWidth="1"/>
    <col min="281" max="287" width="9.140625" style="3"/>
    <col min="288" max="288" width="7.5703125" style="3" customWidth="1"/>
    <col min="289" max="291" width="9.140625" style="3"/>
    <col min="292" max="292" width="10.85546875" style="3" customWidth="1"/>
    <col min="293" max="293" width="13.42578125" style="3" customWidth="1"/>
    <col min="294" max="519" width="9.140625" style="3"/>
    <col min="520" max="520" width="5.140625" style="3" customWidth="1"/>
    <col min="521" max="521" width="24.85546875" style="3" customWidth="1"/>
    <col min="522" max="522" width="19.140625" style="3" customWidth="1"/>
    <col min="523" max="525" width="9.140625" style="3"/>
    <col min="526" max="526" width="11.42578125" style="3" customWidth="1"/>
    <col min="527" max="531" width="9.140625" style="3"/>
    <col min="532" max="532" width="10.28515625" style="3" customWidth="1"/>
    <col min="533" max="534" width="9.140625" style="3"/>
    <col min="535" max="536" width="0" style="3" hidden="1" customWidth="1"/>
    <col min="537" max="543" width="9.140625" style="3"/>
    <col min="544" max="544" width="7.5703125" style="3" customWidth="1"/>
    <col min="545" max="547" width="9.140625" style="3"/>
    <col min="548" max="548" width="10.85546875" style="3" customWidth="1"/>
    <col min="549" max="549" width="13.42578125" style="3" customWidth="1"/>
    <col min="550" max="775" width="9.140625" style="3"/>
    <col min="776" max="776" width="5.140625" style="3" customWidth="1"/>
    <col min="777" max="777" width="24.85546875" style="3" customWidth="1"/>
    <col min="778" max="778" width="19.140625" style="3" customWidth="1"/>
    <col min="779" max="781" width="9.140625" style="3"/>
    <col min="782" max="782" width="11.42578125" style="3" customWidth="1"/>
    <col min="783" max="787" width="9.140625" style="3"/>
    <col min="788" max="788" width="10.28515625" style="3" customWidth="1"/>
    <col min="789" max="790" width="9.140625" style="3"/>
    <col min="791" max="792" width="0" style="3" hidden="1" customWidth="1"/>
    <col min="793" max="799" width="9.140625" style="3"/>
    <col min="800" max="800" width="7.5703125" style="3" customWidth="1"/>
    <col min="801" max="803" width="9.140625" style="3"/>
    <col min="804" max="804" width="10.85546875" style="3" customWidth="1"/>
    <col min="805" max="805" width="13.42578125" style="3" customWidth="1"/>
    <col min="806" max="1031" width="9.140625" style="3"/>
    <col min="1032" max="1032" width="5.140625" style="3" customWidth="1"/>
    <col min="1033" max="1033" width="24.85546875" style="3" customWidth="1"/>
    <col min="1034" max="1034" width="19.140625" style="3" customWidth="1"/>
    <col min="1035" max="1037" width="9.140625" style="3"/>
    <col min="1038" max="1038" width="11.42578125" style="3" customWidth="1"/>
    <col min="1039" max="1043" width="9.140625" style="3"/>
    <col min="1044" max="1044" width="10.28515625" style="3" customWidth="1"/>
    <col min="1045" max="1046" width="9.140625" style="3"/>
    <col min="1047" max="1048" width="0" style="3" hidden="1" customWidth="1"/>
    <col min="1049" max="1055" width="9.140625" style="3"/>
    <col min="1056" max="1056" width="7.5703125" style="3" customWidth="1"/>
    <col min="1057" max="1059" width="9.140625" style="3"/>
    <col min="1060" max="1060" width="10.85546875" style="3" customWidth="1"/>
    <col min="1061" max="1061" width="13.42578125" style="3" customWidth="1"/>
    <col min="1062" max="1287" width="9.140625" style="3"/>
    <col min="1288" max="1288" width="5.140625" style="3" customWidth="1"/>
    <col min="1289" max="1289" width="24.85546875" style="3" customWidth="1"/>
    <col min="1290" max="1290" width="19.140625" style="3" customWidth="1"/>
    <col min="1291" max="1293" width="9.140625" style="3"/>
    <col min="1294" max="1294" width="11.42578125" style="3" customWidth="1"/>
    <col min="1295" max="1299" width="9.140625" style="3"/>
    <col min="1300" max="1300" width="10.28515625" style="3" customWidth="1"/>
    <col min="1301" max="1302" width="9.140625" style="3"/>
    <col min="1303" max="1304" width="0" style="3" hidden="1" customWidth="1"/>
    <col min="1305" max="1311" width="9.140625" style="3"/>
    <col min="1312" max="1312" width="7.5703125" style="3" customWidth="1"/>
    <col min="1313" max="1315" width="9.140625" style="3"/>
    <col min="1316" max="1316" width="10.85546875" style="3" customWidth="1"/>
    <col min="1317" max="1317" width="13.42578125" style="3" customWidth="1"/>
    <col min="1318" max="1543" width="9.140625" style="3"/>
    <col min="1544" max="1544" width="5.140625" style="3" customWidth="1"/>
    <col min="1545" max="1545" width="24.85546875" style="3" customWidth="1"/>
    <col min="1546" max="1546" width="19.140625" style="3" customWidth="1"/>
    <col min="1547" max="1549" width="9.140625" style="3"/>
    <col min="1550" max="1550" width="11.42578125" style="3" customWidth="1"/>
    <col min="1551" max="1555" width="9.140625" style="3"/>
    <col min="1556" max="1556" width="10.28515625" style="3" customWidth="1"/>
    <col min="1557" max="1558" width="9.140625" style="3"/>
    <col min="1559" max="1560" width="0" style="3" hidden="1" customWidth="1"/>
    <col min="1561" max="1567" width="9.140625" style="3"/>
    <col min="1568" max="1568" width="7.5703125" style="3" customWidth="1"/>
    <col min="1569" max="1571" width="9.140625" style="3"/>
    <col min="1572" max="1572" width="10.85546875" style="3" customWidth="1"/>
    <col min="1573" max="1573" width="13.42578125" style="3" customWidth="1"/>
    <col min="1574" max="1799" width="9.140625" style="3"/>
    <col min="1800" max="1800" width="5.140625" style="3" customWidth="1"/>
    <col min="1801" max="1801" width="24.85546875" style="3" customWidth="1"/>
    <col min="1802" max="1802" width="19.140625" style="3" customWidth="1"/>
    <col min="1803" max="1805" width="9.140625" style="3"/>
    <col min="1806" max="1806" width="11.42578125" style="3" customWidth="1"/>
    <col min="1807" max="1811" width="9.140625" style="3"/>
    <col min="1812" max="1812" width="10.28515625" style="3" customWidth="1"/>
    <col min="1813" max="1814" width="9.140625" style="3"/>
    <col min="1815" max="1816" width="0" style="3" hidden="1" customWidth="1"/>
    <col min="1817" max="1823" width="9.140625" style="3"/>
    <col min="1824" max="1824" width="7.5703125" style="3" customWidth="1"/>
    <col min="1825" max="1827" width="9.140625" style="3"/>
    <col min="1828" max="1828" width="10.85546875" style="3" customWidth="1"/>
    <col min="1829" max="1829" width="13.42578125" style="3" customWidth="1"/>
    <col min="1830" max="2055" width="9.140625" style="3"/>
    <col min="2056" max="2056" width="5.140625" style="3" customWidth="1"/>
    <col min="2057" max="2057" width="24.85546875" style="3" customWidth="1"/>
    <col min="2058" max="2058" width="19.140625" style="3" customWidth="1"/>
    <col min="2059" max="2061" width="9.140625" style="3"/>
    <col min="2062" max="2062" width="11.42578125" style="3" customWidth="1"/>
    <col min="2063" max="2067" width="9.140625" style="3"/>
    <col min="2068" max="2068" width="10.28515625" style="3" customWidth="1"/>
    <col min="2069" max="2070" width="9.140625" style="3"/>
    <col min="2071" max="2072" width="0" style="3" hidden="1" customWidth="1"/>
    <col min="2073" max="2079" width="9.140625" style="3"/>
    <col min="2080" max="2080" width="7.5703125" style="3" customWidth="1"/>
    <col min="2081" max="2083" width="9.140625" style="3"/>
    <col min="2084" max="2084" width="10.85546875" style="3" customWidth="1"/>
    <col min="2085" max="2085" width="13.42578125" style="3" customWidth="1"/>
    <col min="2086" max="2311" width="9.140625" style="3"/>
    <col min="2312" max="2312" width="5.140625" style="3" customWidth="1"/>
    <col min="2313" max="2313" width="24.85546875" style="3" customWidth="1"/>
    <col min="2314" max="2314" width="19.140625" style="3" customWidth="1"/>
    <col min="2315" max="2317" width="9.140625" style="3"/>
    <col min="2318" max="2318" width="11.42578125" style="3" customWidth="1"/>
    <col min="2319" max="2323" width="9.140625" style="3"/>
    <col min="2324" max="2324" width="10.28515625" style="3" customWidth="1"/>
    <col min="2325" max="2326" width="9.140625" style="3"/>
    <col min="2327" max="2328" width="0" style="3" hidden="1" customWidth="1"/>
    <col min="2329" max="2335" width="9.140625" style="3"/>
    <col min="2336" max="2336" width="7.5703125" style="3" customWidth="1"/>
    <col min="2337" max="2339" width="9.140625" style="3"/>
    <col min="2340" max="2340" width="10.85546875" style="3" customWidth="1"/>
    <col min="2341" max="2341" width="13.42578125" style="3" customWidth="1"/>
    <col min="2342" max="2567" width="9.140625" style="3"/>
    <col min="2568" max="2568" width="5.140625" style="3" customWidth="1"/>
    <col min="2569" max="2569" width="24.85546875" style="3" customWidth="1"/>
    <col min="2570" max="2570" width="19.140625" style="3" customWidth="1"/>
    <col min="2571" max="2573" width="9.140625" style="3"/>
    <col min="2574" max="2574" width="11.42578125" style="3" customWidth="1"/>
    <col min="2575" max="2579" width="9.140625" style="3"/>
    <col min="2580" max="2580" width="10.28515625" style="3" customWidth="1"/>
    <col min="2581" max="2582" width="9.140625" style="3"/>
    <col min="2583" max="2584" width="0" style="3" hidden="1" customWidth="1"/>
    <col min="2585" max="2591" width="9.140625" style="3"/>
    <col min="2592" max="2592" width="7.5703125" style="3" customWidth="1"/>
    <col min="2593" max="2595" width="9.140625" style="3"/>
    <col min="2596" max="2596" width="10.85546875" style="3" customWidth="1"/>
    <col min="2597" max="2597" width="13.42578125" style="3" customWidth="1"/>
    <col min="2598" max="2823" width="9.140625" style="3"/>
    <col min="2824" max="2824" width="5.140625" style="3" customWidth="1"/>
    <col min="2825" max="2825" width="24.85546875" style="3" customWidth="1"/>
    <col min="2826" max="2826" width="19.140625" style="3" customWidth="1"/>
    <col min="2827" max="2829" width="9.140625" style="3"/>
    <col min="2830" max="2830" width="11.42578125" style="3" customWidth="1"/>
    <col min="2831" max="2835" width="9.140625" style="3"/>
    <col min="2836" max="2836" width="10.28515625" style="3" customWidth="1"/>
    <col min="2837" max="2838" width="9.140625" style="3"/>
    <col min="2839" max="2840" width="0" style="3" hidden="1" customWidth="1"/>
    <col min="2841" max="2847" width="9.140625" style="3"/>
    <col min="2848" max="2848" width="7.5703125" style="3" customWidth="1"/>
    <col min="2849" max="2851" width="9.140625" style="3"/>
    <col min="2852" max="2852" width="10.85546875" style="3" customWidth="1"/>
    <col min="2853" max="2853" width="13.42578125" style="3" customWidth="1"/>
    <col min="2854" max="3079" width="9.140625" style="3"/>
    <col min="3080" max="3080" width="5.140625" style="3" customWidth="1"/>
    <col min="3081" max="3081" width="24.85546875" style="3" customWidth="1"/>
    <col min="3082" max="3082" width="19.140625" style="3" customWidth="1"/>
    <col min="3083" max="3085" width="9.140625" style="3"/>
    <col min="3086" max="3086" width="11.42578125" style="3" customWidth="1"/>
    <col min="3087" max="3091" width="9.140625" style="3"/>
    <col min="3092" max="3092" width="10.28515625" style="3" customWidth="1"/>
    <col min="3093" max="3094" width="9.140625" style="3"/>
    <col min="3095" max="3096" width="0" style="3" hidden="1" customWidth="1"/>
    <col min="3097" max="3103" width="9.140625" style="3"/>
    <col min="3104" max="3104" width="7.5703125" style="3" customWidth="1"/>
    <col min="3105" max="3107" width="9.140625" style="3"/>
    <col min="3108" max="3108" width="10.85546875" style="3" customWidth="1"/>
    <col min="3109" max="3109" width="13.42578125" style="3" customWidth="1"/>
    <col min="3110" max="3335" width="9.140625" style="3"/>
    <col min="3336" max="3336" width="5.140625" style="3" customWidth="1"/>
    <col min="3337" max="3337" width="24.85546875" style="3" customWidth="1"/>
    <col min="3338" max="3338" width="19.140625" style="3" customWidth="1"/>
    <col min="3339" max="3341" width="9.140625" style="3"/>
    <col min="3342" max="3342" width="11.42578125" style="3" customWidth="1"/>
    <col min="3343" max="3347" width="9.140625" style="3"/>
    <col min="3348" max="3348" width="10.28515625" style="3" customWidth="1"/>
    <col min="3349" max="3350" width="9.140625" style="3"/>
    <col min="3351" max="3352" width="0" style="3" hidden="1" customWidth="1"/>
    <col min="3353" max="3359" width="9.140625" style="3"/>
    <col min="3360" max="3360" width="7.5703125" style="3" customWidth="1"/>
    <col min="3361" max="3363" width="9.140625" style="3"/>
    <col min="3364" max="3364" width="10.85546875" style="3" customWidth="1"/>
    <col min="3365" max="3365" width="13.42578125" style="3" customWidth="1"/>
    <col min="3366" max="3591" width="9.140625" style="3"/>
    <col min="3592" max="3592" width="5.140625" style="3" customWidth="1"/>
    <col min="3593" max="3593" width="24.85546875" style="3" customWidth="1"/>
    <col min="3594" max="3594" width="19.140625" style="3" customWidth="1"/>
    <col min="3595" max="3597" width="9.140625" style="3"/>
    <col min="3598" max="3598" width="11.42578125" style="3" customWidth="1"/>
    <col min="3599" max="3603" width="9.140625" style="3"/>
    <col min="3604" max="3604" width="10.28515625" style="3" customWidth="1"/>
    <col min="3605" max="3606" width="9.140625" style="3"/>
    <col min="3607" max="3608" width="0" style="3" hidden="1" customWidth="1"/>
    <col min="3609" max="3615" width="9.140625" style="3"/>
    <col min="3616" max="3616" width="7.5703125" style="3" customWidth="1"/>
    <col min="3617" max="3619" width="9.140625" style="3"/>
    <col min="3620" max="3620" width="10.85546875" style="3" customWidth="1"/>
    <col min="3621" max="3621" width="13.42578125" style="3" customWidth="1"/>
    <col min="3622" max="3847" width="9.140625" style="3"/>
    <col min="3848" max="3848" width="5.140625" style="3" customWidth="1"/>
    <col min="3849" max="3849" width="24.85546875" style="3" customWidth="1"/>
    <col min="3850" max="3850" width="19.140625" style="3" customWidth="1"/>
    <col min="3851" max="3853" width="9.140625" style="3"/>
    <col min="3854" max="3854" width="11.42578125" style="3" customWidth="1"/>
    <col min="3855" max="3859" width="9.140625" style="3"/>
    <col min="3860" max="3860" width="10.28515625" style="3" customWidth="1"/>
    <col min="3861" max="3862" width="9.140625" style="3"/>
    <col min="3863" max="3864" width="0" style="3" hidden="1" customWidth="1"/>
    <col min="3865" max="3871" width="9.140625" style="3"/>
    <col min="3872" max="3872" width="7.5703125" style="3" customWidth="1"/>
    <col min="3873" max="3875" width="9.140625" style="3"/>
    <col min="3876" max="3876" width="10.85546875" style="3" customWidth="1"/>
    <col min="3877" max="3877" width="13.42578125" style="3" customWidth="1"/>
    <col min="3878" max="4103" width="9.140625" style="3"/>
    <col min="4104" max="4104" width="5.140625" style="3" customWidth="1"/>
    <col min="4105" max="4105" width="24.85546875" style="3" customWidth="1"/>
    <col min="4106" max="4106" width="19.140625" style="3" customWidth="1"/>
    <col min="4107" max="4109" width="9.140625" style="3"/>
    <col min="4110" max="4110" width="11.42578125" style="3" customWidth="1"/>
    <col min="4111" max="4115" width="9.140625" style="3"/>
    <col min="4116" max="4116" width="10.28515625" style="3" customWidth="1"/>
    <col min="4117" max="4118" width="9.140625" style="3"/>
    <col min="4119" max="4120" width="0" style="3" hidden="1" customWidth="1"/>
    <col min="4121" max="4127" width="9.140625" style="3"/>
    <col min="4128" max="4128" width="7.5703125" style="3" customWidth="1"/>
    <col min="4129" max="4131" width="9.140625" style="3"/>
    <col min="4132" max="4132" width="10.85546875" style="3" customWidth="1"/>
    <col min="4133" max="4133" width="13.42578125" style="3" customWidth="1"/>
    <col min="4134" max="4359" width="9.140625" style="3"/>
    <col min="4360" max="4360" width="5.140625" style="3" customWidth="1"/>
    <col min="4361" max="4361" width="24.85546875" style="3" customWidth="1"/>
    <col min="4362" max="4362" width="19.140625" style="3" customWidth="1"/>
    <col min="4363" max="4365" width="9.140625" style="3"/>
    <col min="4366" max="4366" width="11.42578125" style="3" customWidth="1"/>
    <col min="4367" max="4371" width="9.140625" style="3"/>
    <col min="4372" max="4372" width="10.28515625" style="3" customWidth="1"/>
    <col min="4373" max="4374" width="9.140625" style="3"/>
    <col min="4375" max="4376" width="0" style="3" hidden="1" customWidth="1"/>
    <col min="4377" max="4383" width="9.140625" style="3"/>
    <col min="4384" max="4384" width="7.5703125" style="3" customWidth="1"/>
    <col min="4385" max="4387" width="9.140625" style="3"/>
    <col min="4388" max="4388" width="10.85546875" style="3" customWidth="1"/>
    <col min="4389" max="4389" width="13.42578125" style="3" customWidth="1"/>
    <col min="4390" max="4615" width="9.140625" style="3"/>
    <col min="4616" max="4616" width="5.140625" style="3" customWidth="1"/>
    <col min="4617" max="4617" width="24.85546875" style="3" customWidth="1"/>
    <col min="4618" max="4618" width="19.140625" style="3" customWidth="1"/>
    <col min="4619" max="4621" width="9.140625" style="3"/>
    <col min="4622" max="4622" width="11.42578125" style="3" customWidth="1"/>
    <col min="4623" max="4627" width="9.140625" style="3"/>
    <col min="4628" max="4628" width="10.28515625" style="3" customWidth="1"/>
    <col min="4629" max="4630" width="9.140625" style="3"/>
    <col min="4631" max="4632" width="0" style="3" hidden="1" customWidth="1"/>
    <col min="4633" max="4639" width="9.140625" style="3"/>
    <col min="4640" max="4640" width="7.5703125" style="3" customWidth="1"/>
    <col min="4641" max="4643" width="9.140625" style="3"/>
    <col min="4644" max="4644" width="10.85546875" style="3" customWidth="1"/>
    <col min="4645" max="4645" width="13.42578125" style="3" customWidth="1"/>
    <col min="4646" max="4871" width="9.140625" style="3"/>
    <col min="4872" max="4872" width="5.140625" style="3" customWidth="1"/>
    <col min="4873" max="4873" width="24.85546875" style="3" customWidth="1"/>
    <col min="4874" max="4874" width="19.140625" style="3" customWidth="1"/>
    <col min="4875" max="4877" width="9.140625" style="3"/>
    <col min="4878" max="4878" width="11.42578125" style="3" customWidth="1"/>
    <col min="4879" max="4883" width="9.140625" style="3"/>
    <col min="4884" max="4884" width="10.28515625" style="3" customWidth="1"/>
    <col min="4885" max="4886" width="9.140625" style="3"/>
    <col min="4887" max="4888" width="0" style="3" hidden="1" customWidth="1"/>
    <col min="4889" max="4895" width="9.140625" style="3"/>
    <col min="4896" max="4896" width="7.5703125" style="3" customWidth="1"/>
    <col min="4897" max="4899" width="9.140625" style="3"/>
    <col min="4900" max="4900" width="10.85546875" style="3" customWidth="1"/>
    <col min="4901" max="4901" width="13.42578125" style="3" customWidth="1"/>
    <col min="4902" max="5127" width="9.140625" style="3"/>
    <col min="5128" max="5128" width="5.140625" style="3" customWidth="1"/>
    <col min="5129" max="5129" width="24.85546875" style="3" customWidth="1"/>
    <col min="5130" max="5130" width="19.140625" style="3" customWidth="1"/>
    <col min="5131" max="5133" width="9.140625" style="3"/>
    <col min="5134" max="5134" width="11.42578125" style="3" customWidth="1"/>
    <col min="5135" max="5139" width="9.140625" style="3"/>
    <col min="5140" max="5140" width="10.28515625" style="3" customWidth="1"/>
    <col min="5141" max="5142" width="9.140625" style="3"/>
    <col min="5143" max="5144" width="0" style="3" hidden="1" customWidth="1"/>
    <col min="5145" max="5151" width="9.140625" style="3"/>
    <col min="5152" max="5152" width="7.5703125" style="3" customWidth="1"/>
    <col min="5153" max="5155" width="9.140625" style="3"/>
    <col min="5156" max="5156" width="10.85546875" style="3" customWidth="1"/>
    <col min="5157" max="5157" width="13.42578125" style="3" customWidth="1"/>
    <col min="5158" max="5383" width="9.140625" style="3"/>
    <col min="5384" max="5384" width="5.140625" style="3" customWidth="1"/>
    <col min="5385" max="5385" width="24.85546875" style="3" customWidth="1"/>
    <col min="5386" max="5386" width="19.140625" style="3" customWidth="1"/>
    <col min="5387" max="5389" width="9.140625" style="3"/>
    <col min="5390" max="5390" width="11.42578125" style="3" customWidth="1"/>
    <col min="5391" max="5395" width="9.140625" style="3"/>
    <col min="5396" max="5396" width="10.28515625" style="3" customWidth="1"/>
    <col min="5397" max="5398" width="9.140625" style="3"/>
    <col min="5399" max="5400" width="0" style="3" hidden="1" customWidth="1"/>
    <col min="5401" max="5407" width="9.140625" style="3"/>
    <col min="5408" max="5408" width="7.5703125" style="3" customWidth="1"/>
    <col min="5409" max="5411" width="9.140625" style="3"/>
    <col min="5412" max="5412" width="10.85546875" style="3" customWidth="1"/>
    <col min="5413" max="5413" width="13.42578125" style="3" customWidth="1"/>
    <col min="5414" max="5639" width="9.140625" style="3"/>
    <col min="5640" max="5640" width="5.140625" style="3" customWidth="1"/>
    <col min="5641" max="5641" width="24.85546875" style="3" customWidth="1"/>
    <col min="5642" max="5642" width="19.140625" style="3" customWidth="1"/>
    <col min="5643" max="5645" width="9.140625" style="3"/>
    <col min="5646" max="5646" width="11.42578125" style="3" customWidth="1"/>
    <col min="5647" max="5651" width="9.140625" style="3"/>
    <col min="5652" max="5652" width="10.28515625" style="3" customWidth="1"/>
    <col min="5653" max="5654" width="9.140625" style="3"/>
    <col min="5655" max="5656" width="0" style="3" hidden="1" customWidth="1"/>
    <col min="5657" max="5663" width="9.140625" style="3"/>
    <col min="5664" max="5664" width="7.5703125" style="3" customWidth="1"/>
    <col min="5665" max="5667" width="9.140625" style="3"/>
    <col min="5668" max="5668" width="10.85546875" style="3" customWidth="1"/>
    <col min="5669" max="5669" width="13.42578125" style="3" customWidth="1"/>
    <col min="5670" max="5895" width="9.140625" style="3"/>
    <col min="5896" max="5896" width="5.140625" style="3" customWidth="1"/>
    <col min="5897" max="5897" width="24.85546875" style="3" customWidth="1"/>
    <col min="5898" max="5898" width="19.140625" style="3" customWidth="1"/>
    <col min="5899" max="5901" width="9.140625" style="3"/>
    <col min="5902" max="5902" width="11.42578125" style="3" customWidth="1"/>
    <col min="5903" max="5907" width="9.140625" style="3"/>
    <col min="5908" max="5908" width="10.28515625" style="3" customWidth="1"/>
    <col min="5909" max="5910" width="9.140625" style="3"/>
    <col min="5911" max="5912" width="0" style="3" hidden="1" customWidth="1"/>
    <col min="5913" max="5919" width="9.140625" style="3"/>
    <col min="5920" max="5920" width="7.5703125" style="3" customWidth="1"/>
    <col min="5921" max="5923" width="9.140625" style="3"/>
    <col min="5924" max="5924" width="10.85546875" style="3" customWidth="1"/>
    <col min="5925" max="5925" width="13.42578125" style="3" customWidth="1"/>
    <col min="5926" max="6151" width="9.140625" style="3"/>
    <col min="6152" max="6152" width="5.140625" style="3" customWidth="1"/>
    <col min="6153" max="6153" width="24.85546875" style="3" customWidth="1"/>
    <col min="6154" max="6154" width="19.140625" style="3" customWidth="1"/>
    <col min="6155" max="6157" width="9.140625" style="3"/>
    <col min="6158" max="6158" width="11.42578125" style="3" customWidth="1"/>
    <col min="6159" max="6163" width="9.140625" style="3"/>
    <col min="6164" max="6164" width="10.28515625" style="3" customWidth="1"/>
    <col min="6165" max="6166" width="9.140625" style="3"/>
    <col min="6167" max="6168" width="0" style="3" hidden="1" customWidth="1"/>
    <col min="6169" max="6175" width="9.140625" style="3"/>
    <col min="6176" max="6176" width="7.5703125" style="3" customWidth="1"/>
    <col min="6177" max="6179" width="9.140625" style="3"/>
    <col min="6180" max="6180" width="10.85546875" style="3" customWidth="1"/>
    <col min="6181" max="6181" width="13.42578125" style="3" customWidth="1"/>
    <col min="6182" max="6407" width="9.140625" style="3"/>
    <col min="6408" max="6408" width="5.140625" style="3" customWidth="1"/>
    <col min="6409" max="6409" width="24.85546875" style="3" customWidth="1"/>
    <col min="6410" max="6410" width="19.140625" style="3" customWidth="1"/>
    <col min="6411" max="6413" width="9.140625" style="3"/>
    <col min="6414" max="6414" width="11.42578125" style="3" customWidth="1"/>
    <col min="6415" max="6419" width="9.140625" style="3"/>
    <col min="6420" max="6420" width="10.28515625" style="3" customWidth="1"/>
    <col min="6421" max="6422" width="9.140625" style="3"/>
    <col min="6423" max="6424" width="0" style="3" hidden="1" customWidth="1"/>
    <col min="6425" max="6431" width="9.140625" style="3"/>
    <col min="6432" max="6432" width="7.5703125" style="3" customWidth="1"/>
    <col min="6433" max="6435" width="9.140625" style="3"/>
    <col min="6436" max="6436" width="10.85546875" style="3" customWidth="1"/>
    <col min="6437" max="6437" width="13.42578125" style="3" customWidth="1"/>
    <col min="6438" max="6663" width="9.140625" style="3"/>
    <col min="6664" max="6664" width="5.140625" style="3" customWidth="1"/>
    <col min="6665" max="6665" width="24.85546875" style="3" customWidth="1"/>
    <col min="6666" max="6666" width="19.140625" style="3" customWidth="1"/>
    <col min="6667" max="6669" width="9.140625" style="3"/>
    <col min="6670" max="6670" width="11.42578125" style="3" customWidth="1"/>
    <col min="6671" max="6675" width="9.140625" style="3"/>
    <col min="6676" max="6676" width="10.28515625" style="3" customWidth="1"/>
    <col min="6677" max="6678" width="9.140625" style="3"/>
    <col min="6679" max="6680" width="0" style="3" hidden="1" customWidth="1"/>
    <col min="6681" max="6687" width="9.140625" style="3"/>
    <col min="6688" max="6688" width="7.5703125" style="3" customWidth="1"/>
    <col min="6689" max="6691" width="9.140625" style="3"/>
    <col min="6692" max="6692" width="10.85546875" style="3" customWidth="1"/>
    <col min="6693" max="6693" width="13.42578125" style="3" customWidth="1"/>
    <col min="6694" max="6919" width="9.140625" style="3"/>
    <col min="6920" max="6920" width="5.140625" style="3" customWidth="1"/>
    <col min="6921" max="6921" width="24.85546875" style="3" customWidth="1"/>
    <col min="6922" max="6922" width="19.140625" style="3" customWidth="1"/>
    <col min="6923" max="6925" width="9.140625" style="3"/>
    <col min="6926" max="6926" width="11.42578125" style="3" customWidth="1"/>
    <col min="6927" max="6931" width="9.140625" style="3"/>
    <col min="6932" max="6932" width="10.28515625" style="3" customWidth="1"/>
    <col min="6933" max="6934" width="9.140625" style="3"/>
    <col min="6935" max="6936" width="0" style="3" hidden="1" customWidth="1"/>
    <col min="6937" max="6943" width="9.140625" style="3"/>
    <col min="6944" max="6944" width="7.5703125" style="3" customWidth="1"/>
    <col min="6945" max="6947" width="9.140625" style="3"/>
    <col min="6948" max="6948" width="10.85546875" style="3" customWidth="1"/>
    <col min="6949" max="6949" width="13.42578125" style="3" customWidth="1"/>
    <col min="6950" max="7175" width="9.140625" style="3"/>
    <col min="7176" max="7176" width="5.140625" style="3" customWidth="1"/>
    <col min="7177" max="7177" width="24.85546875" style="3" customWidth="1"/>
    <col min="7178" max="7178" width="19.140625" style="3" customWidth="1"/>
    <col min="7179" max="7181" width="9.140625" style="3"/>
    <col min="7182" max="7182" width="11.42578125" style="3" customWidth="1"/>
    <col min="7183" max="7187" width="9.140625" style="3"/>
    <col min="7188" max="7188" width="10.28515625" style="3" customWidth="1"/>
    <col min="7189" max="7190" width="9.140625" style="3"/>
    <col min="7191" max="7192" width="0" style="3" hidden="1" customWidth="1"/>
    <col min="7193" max="7199" width="9.140625" style="3"/>
    <col min="7200" max="7200" width="7.5703125" style="3" customWidth="1"/>
    <col min="7201" max="7203" width="9.140625" style="3"/>
    <col min="7204" max="7204" width="10.85546875" style="3" customWidth="1"/>
    <col min="7205" max="7205" width="13.42578125" style="3" customWidth="1"/>
    <col min="7206" max="7431" width="9.140625" style="3"/>
    <col min="7432" max="7432" width="5.140625" style="3" customWidth="1"/>
    <col min="7433" max="7433" width="24.85546875" style="3" customWidth="1"/>
    <col min="7434" max="7434" width="19.140625" style="3" customWidth="1"/>
    <col min="7435" max="7437" width="9.140625" style="3"/>
    <col min="7438" max="7438" width="11.42578125" style="3" customWidth="1"/>
    <col min="7439" max="7443" width="9.140625" style="3"/>
    <col min="7444" max="7444" width="10.28515625" style="3" customWidth="1"/>
    <col min="7445" max="7446" width="9.140625" style="3"/>
    <col min="7447" max="7448" width="0" style="3" hidden="1" customWidth="1"/>
    <col min="7449" max="7455" width="9.140625" style="3"/>
    <col min="7456" max="7456" width="7.5703125" style="3" customWidth="1"/>
    <col min="7457" max="7459" width="9.140625" style="3"/>
    <col min="7460" max="7460" width="10.85546875" style="3" customWidth="1"/>
    <col min="7461" max="7461" width="13.42578125" style="3" customWidth="1"/>
    <col min="7462" max="7687" width="9.140625" style="3"/>
    <col min="7688" max="7688" width="5.140625" style="3" customWidth="1"/>
    <col min="7689" max="7689" width="24.85546875" style="3" customWidth="1"/>
    <col min="7690" max="7690" width="19.140625" style="3" customWidth="1"/>
    <col min="7691" max="7693" width="9.140625" style="3"/>
    <col min="7694" max="7694" width="11.42578125" style="3" customWidth="1"/>
    <col min="7695" max="7699" width="9.140625" style="3"/>
    <col min="7700" max="7700" width="10.28515625" style="3" customWidth="1"/>
    <col min="7701" max="7702" width="9.140625" style="3"/>
    <col min="7703" max="7704" width="0" style="3" hidden="1" customWidth="1"/>
    <col min="7705" max="7711" width="9.140625" style="3"/>
    <col min="7712" max="7712" width="7.5703125" style="3" customWidth="1"/>
    <col min="7713" max="7715" width="9.140625" style="3"/>
    <col min="7716" max="7716" width="10.85546875" style="3" customWidth="1"/>
    <col min="7717" max="7717" width="13.42578125" style="3" customWidth="1"/>
    <col min="7718" max="7943" width="9.140625" style="3"/>
    <col min="7944" max="7944" width="5.140625" style="3" customWidth="1"/>
    <col min="7945" max="7945" width="24.85546875" style="3" customWidth="1"/>
    <col min="7946" max="7946" width="19.140625" style="3" customWidth="1"/>
    <col min="7947" max="7949" width="9.140625" style="3"/>
    <col min="7950" max="7950" width="11.42578125" style="3" customWidth="1"/>
    <col min="7951" max="7955" width="9.140625" style="3"/>
    <col min="7956" max="7956" width="10.28515625" style="3" customWidth="1"/>
    <col min="7957" max="7958" width="9.140625" style="3"/>
    <col min="7959" max="7960" width="0" style="3" hidden="1" customWidth="1"/>
    <col min="7961" max="7967" width="9.140625" style="3"/>
    <col min="7968" max="7968" width="7.5703125" style="3" customWidth="1"/>
    <col min="7969" max="7971" width="9.140625" style="3"/>
    <col min="7972" max="7972" width="10.85546875" style="3" customWidth="1"/>
    <col min="7973" max="7973" width="13.42578125" style="3" customWidth="1"/>
    <col min="7974" max="8199" width="9.140625" style="3"/>
    <col min="8200" max="8200" width="5.140625" style="3" customWidth="1"/>
    <col min="8201" max="8201" width="24.85546875" style="3" customWidth="1"/>
    <col min="8202" max="8202" width="19.140625" style="3" customWidth="1"/>
    <col min="8203" max="8205" width="9.140625" style="3"/>
    <col min="8206" max="8206" width="11.42578125" style="3" customWidth="1"/>
    <col min="8207" max="8211" width="9.140625" style="3"/>
    <col min="8212" max="8212" width="10.28515625" style="3" customWidth="1"/>
    <col min="8213" max="8214" width="9.140625" style="3"/>
    <col min="8215" max="8216" width="0" style="3" hidden="1" customWidth="1"/>
    <col min="8217" max="8223" width="9.140625" style="3"/>
    <col min="8224" max="8224" width="7.5703125" style="3" customWidth="1"/>
    <col min="8225" max="8227" width="9.140625" style="3"/>
    <col min="8228" max="8228" width="10.85546875" style="3" customWidth="1"/>
    <col min="8229" max="8229" width="13.42578125" style="3" customWidth="1"/>
    <col min="8230" max="8455" width="9.140625" style="3"/>
    <col min="8456" max="8456" width="5.140625" style="3" customWidth="1"/>
    <col min="8457" max="8457" width="24.85546875" style="3" customWidth="1"/>
    <col min="8458" max="8458" width="19.140625" style="3" customWidth="1"/>
    <col min="8459" max="8461" width="9.140625" style="3"/>
    <col min="8462" max="8462" width="11.42578125" style="3" customWidth="1"/>
    <col min="8463" max="8467" width="9.140625" style="3"/>
    <col min="8468" max="8468" width="10.28515625" style="3" customWidth="1"/>
    <col min="8469" max="8470" width="9.140625" style="3"/>
    <col min="8471" max="8472" width="0" style="3" hidden="1" customWidth="1"/>
    <col min="8473" max="8479" width="9.140625" style="3"/>
    <col min="8480" max="8480" width="7.5703125" style="3" customWidth="1"/>
    <col min="8481" max="8483" width="9.140625" style="3"/>
    <col min="8484" max="8484" width="10.85546875" style="3" customWidth="1"/>
    <col min="8485" max="8485" width="13.42578125" style="3" customWidth="1"/>
    <col min="8486" max="8711" width="9.140625" style="3"/>
    <col min="8712" max="8712" width="5.140625" style="3" customWidth="1"/>
    <col min="8713" max="8713" width="24.85546875" style="3" customWidth="1"/>
    <col min="8714" max="8714" width="19.140625" style="3" customWidth="1"/>
    <col min="8715" max="8717" width="9.140625" style="3"/>
    <col min="8718" max="8718" width="11.42578125" style="3" customWidth="1"/>
    <col min="8719" max="8723" width="9.140625" style="3"/>
    <col min="8724" max="8724" width="10.28515625" style="3" customWidth="1"/>
    <col min="8725" max="8726" width="9.140625" style="3"/>
    <col min="8727" max="8728" width="0" style="3" hidden="1" customWidth="1"/>
    <col min="8729" max="8735" width="9.140625" style="3"/>
    <col min="8736" max="8736" width="7.5703125" style="3" customWidth="1"/>
    <col min="8737" max="8739" width="9.140625" style="3"/>
    <col min="8740" max="8740" width="10.85546875" style="3" customWidth="1"/>
    <col min="8741" max="8741" width="13.42578125" style="3" customWidth="1"/>
    <col min="8742" max="8967" width="9.140625" style="3"/>
    <col min="8968" max="8968" width="5.140625" style="3" customWidth="1"/>
    <col min="8969" max="8969" width="24.85546875" style="3" customWidth="1"/>
    <col min="8970" max="8970" width="19.140625" style="3" customWidth="1"/>
    <col min="8971" max="8973" width="9.140625" style="3"/>
    <col min="8974" max="8974" width="11.42578125" style="3" customWidth="1"/>
    <col min="8975" max="8979" width="9.140625" style="3"/>
    <col min="8980" max="8980" width="10.28515625" style="3" customWidth="1"/>
    <col min="8981" max="8982" width="9.140625" style="3"/>
    <col min="8983" max="8984" width="0" style="3" hidden="1" customWidth="1"/>
    <col min="8985" max="8991" width="9.140625" style="3"/>
    <col min="8992" max="8992" width="7.5703125" style="3" customWidth="1"/>
    <col min="8993" max="8995" width="9.140625" style="3"/>
    <col min="8996" max="8996" width="10.85546875" style="3" customWidth="1"/>
    <col min="8997" max="8997" width="13.42578125" style="3" customWidth="1"/>
    <col min="8998" max="9223" width="9.140625" style="3"/>
    <col min="9224" max="9224" width="5.140625" style="3" customWidth="1"/>
    <col min="9225" max="9225" width="24.85546875" style="3" customWidth="1"/>
    <col min="9226" max="9226" width="19.140625" style="3" customWidth="1"/>
    <col min="9227" max="9229" width="9.140625" style="3"/>
    <col min="9230" max="9230" width="11.42578125" style="3" customWidth="1"/>
    <col min="9231" max="9235" width="9.140625" style="3"/>
    <col min="9236" max="9236" width="10.28515625" style="3" customWidth="1"/>
    <col min="9237" max="9238" width="9.140625" style="3"/>
    <col min="9239" max="9240" width="0" style="3" hidden="1" customWidth="1"/>
    <col min="9241" max="9247" width="9.140625" style="3"/>
    <col min="9248" max="9248" width="7.5703125" style="3" customWidth="1"/>
    <col min="9249" max="9251" width="9.140625" style="3"/>
    <col min="9252" max="9252" width="10.85546875" style="3" customWidth="1"/>
    <col min="9253" max="9253" width="13.42578125" style="3" customWidth="1"/>
    <col min="9254" max="9479" width="9.140625" style="3"/>
    <col min="9480" max="9480" width="5.140625" style="3" customWidth="1"/>
    <col min="9481" max="9481" width="24.85546875" style="3" customWidth="1"/>
    <col min="9482" max="9482" width="19.140625" style="3" customWidth="1"/>
    <col min="9483" max="9485" width="9.140625" style="3"/>
    <col min="9486" max="9486" width="11.42578125" style="3" customWidth="1"/>
    <col min="9487" max="9491" width="9.140625" style="3"/>
    <col min="9492" max="9492" width="10.28515625" style="3" customWidth="1"/>
    <col min="9493" max="9494" width="9.140625" style="3"/>
    <col min="9495" max="9496" width="0" style="3" hidden="1" customWidth="1"/>
    <col min="9497" max="9503" width="9.140625" style="3"/>
    <col min="9504" max="9504" width="7.5703125" style="3" customWidth="1"/>
    <col min="9505" max="9507" width="9.140625" style="3"/>
    <col min="9508" max="9508" width="10.85546875" style="3" customWidth="1"/>
    <col min="9509" max="9509" width="13.42578125" style="3" customWidth="1"/>
    <col min="9510" max="9735" width="9.140625" style="3"/>
    <col min="9736" max="9736" width="5.140625" style="3" customWidth="1"/>
    <col min="9737" max="9737" width="24.85546875" style="3" customWidth="1"/>
    <col min="9738" max="9738" width="19.140625" style="3" customWidth="1"/>
    <col min="9739" max="9741" width="9.140625" style="3"/>
    <col min="9742" max="9742" width="11.42578125" style="3" customWidth="1"/>
    <col min="9743" max="9747" width="9.140625" style="3"/>
    <col min="9748" max="9748" width="10.28515625" style="3" customWidth="1"/>
    <col min="9749" max="9750" width="9.140625" style="3"/>
    <col min="9751" max="9752" width="0" style="3" hidden="1" customWidth="1"/>
    <col min="9753" max="9759" width="9.140625" style="3"/>
    <col min="9760" max="9760" width="7.5703125" style="3" customWidth="1"/>
    <col min="9761" max="9763" width="9.140625" style="3"/>
    <col min="9764" max="9764" width="10.85546875" style="3" customWidth="1"/>
    <col min="9765" max="9765" width="13.42578125" style="3" customWidth="1"/>
    <col min="9766" max="9991" width="9.140625" style="3"/>
    <col min="9992" max="9992" width="5.140625" style="3" customWidth="1"/>
    <col min="9993" max="9993" width="24.85546875" style="3" customWidth="1"/>
    <col min="9994" max="9994" width="19.140625" style="3" customWidth="1"/>
    <col min="9995" max="9997" width="9.140625" style="3"/>
    <col min="9998" max="9998" width="11.42578125" style="3" customWidth="1"/>
    <col min="9999" max="10003" width="9.140625" style="3"/>
    <col min="10004" max="10004" width="10.28515625" style="3" customWidth="1"/>
    <col min="10005" max="10006" width="9.140625" style="3"/>
    <col min="10007" max="10008" width="0" style="3" hidden="1" customWidth="1"/>
    <col min="10009" max="10015" width="9.140625" style="3"/>
    <col min="10016" max="10016" width="7.5703125" style="3" customWidth="1"/>
    <col min="10017" max="10019" width="9.140625" style="3"/>
    <col min="10020" max="10020" width="10.85546875" style="3" customWidth="1"/>
    <col min="10021" max="10021" width="13.42578125" style="3" customWidth="1"/>
    <col min="10022" max="10247" width="9.140625" style="3"/>
    <col min="10248" max="10248" width="5.140625" style="3" customWidth="1"/>
    <col min="10249" max="10249" width="24.85546875" style="3" customWidth="1"/>
    <col min="10250" max="10250" width="19.140625" style="3" customWidth="1"/>
    <col min="10251" max="10253" width="9.140625" style="3"/>
    <col min="10254" max="10254" width="11.42578125" style="3" customWidth="1"/>
    <col min="10255" max="10259" width="9.140625" style="3"/>
    <col min="10260" max="10260" width="10.28515625" style="3" customWidth="1"/>
    <col min="10261" max="10262" width="9.140625" style="3"/>
    <col min="10263" max="10264" width="0" style="3" hidden="1" customWidth="1"/>
    <col min="10265" max="10271" width="9.140625" style="3"/>
    <col min="10272" max="10272" width="7.5703125" style="3" customWidth="1"/>
    <col min="10273" max="10275" width="9.140625" style="3"/>
    <col min="10276" max="10276" width="10.85546875" style="3" customWidth="1"/>
    <col min="10277" max="10277" width="13.42578125" style="3" customWidth="1"/>
    <col min="10278" max="10503" width="9.140625" style="3"/>
    <col min="10504" max="10504" width="5.140625" style="3" customWidth="1"/>
    <col min="10505" max="10505" width="24.85546875" style="3" customWidth="1"/>
    <col min="10506" max="10506" width="19.140625" style="3" customWidth="1"/>
    <col min="10507" max="10509" width="9.140625" style="3"/>
    <col min="10510" max="10510" width="11.42578125" style="3" customWidth="1"/>
    <col min="10511" max="10515" width="9.140625" style="3"/>
    <col min="10516" max="10516" width="10.28515625" style="3" customWidth="1"/>
    <col min="10517" max="10518" width="9.140625" style="3"/>
    <col min="10519" max="10520" width="0" style="3" hidden="1" customWidth="1"/>
    <col min="10521" max="10527" width="9.140625" style="3"/>
    <col min="10528" max="10528" width="7.5703125" style="3" customWidth="1"/>
    <col min="10529" max="10531" width="9.140625" style="3"/>
    <col min="10532" max="10532" width="10.85546875" style="3" customWidth="1"/>
    <col min="10533" max="10533" width="13.42578125" style="3" customWidth="1"/>
    <col min="10534" max="10759" width="9.140625" style="3"/>
    <col min="10760" max="10760" width="5.140625" style="3" customWidth="1"/>
    <col min="10761" max="10761" width="24.85546875" style="3" customWidth="1"/>
    <col min="10762" max="10762" width="19.140625" style="3" customWidth="1"/>
    <col min="10763" max="10765" width="9.140625" style="3"/>
    <col min="10766" max="10766" width="11.42578125" style="3" customWidth="1"/>
    <col min="10767" max="10771" width="9.140625" style="3"/>
    <col min="10772" max="10772" width="10.28515625" style="3" customWidth="1"/>
    <col min="10773" max="10774" width="9.140625" style="3"/>
    <col min="10775" max="10776" width="0" style="3" hidden="1" customWidth="1"/>
    <col min="10777" max="10783" width="9.140625" style="3"/>
    <col min="10784" max="10784" width="7.5703125" style="3" customWidth="1"/>
    <col min="10785" max="10787" width="9.140625" style="3"/>
    <col min="10788" max="10788" width="10.85546875" style="3" customWidth="1"/>
    <col min="10789" max="10789" width="13.42578125" style="3" customWidth="1"/>
    <col min="10790" max="11015" width="9.140625" style="3"/>
    <col min="11016" max="11016" width="5.140625" style="3" customWidth="1"/>
    <col min="11017" max="11017" width="24.85546875" style="3" customWidth="1"/>
    <col min="11018" max="11018" width="19.140625" style="3" customWidth="1"/>
    <col min="11019" max="11021" width="9.140625" style="3"/>
    <col min="11022" max="11022" width="11.42578125" style="3" customWidth="1"/>
    <col min="11023" max="11027" width="9.140625" style="3"/>
    <col min="11028" max="11028" width="10.28515625" style="3" customWidth="1"/>
    <col min="11029" max="11030" width="9.140625" style="3"/>
    <col min="11031" max="11032" width="0" style="3" hidden="1" customWidth="1"/>
    <col min="11033" max="11039" width="9.140625" style="3"/>
    <col min="11040" max="11040" width="7.5703125" style="3" customWidth="1"/>
    <col min="11041" max="11043" width="9.140625" style="3"/>
    <col min="11044" max="11044" width="10.85546875" style="3" customWidth="1"/>
    <col min="11045" max="11045" width="13.42578125" style="3" customWidth="1"/>
    <col min="11046" max="11271" width="9.140625" style="3"/>
    <col min="11272" max="11272" width="5.140625" style="3" customWidth="1"/>
    <col min="11273" max="11273" width="24.85546875" style="3" customWidth="1"/>
    <col min="11274" max="11274" width="19.140625" style="3" customWidth="1"/>
    <col min="11275" max="11277" width="9.140625" style="3"/>
    <col min="11278" max="11278" width="11.42578125" style="3" customWidth="1"/>
    <col min="11279" max="11283" width="9.140625" style="3"/>
    <col min="11284" max="11284" width="10.28515625" style="3" customWidth="1"/>
    <col min="11285" max="11286" width="9.140625" style="3"/>
    <col min="11287" max="11288" width="0" style="3" hidden="1" customWidth="1"/>
    <col min="11289" max="11295" width="9.140625" style="3"/>
    <col min="11296" max="11296" width="7.5703125" style="3" customWidth="1"/>
    <col min="11297" max="11299" width="9.140625" style="3"/>
    <col min="11300" max="11300" width="10.85546875" style="3" customWidth="1"/>
    <col min="11301" max="11301" width="13.42578125" style="3" customWidth="1"/>
    <col min="11302" max="11527" width="9.140625" style="3"/>
    <col min="11528" max="11528" width="5.140625" style="3" customWidth="1"/>
    <col min="11529" max="11529" width="24.85546875" style="3" customWidth="1"/>
    <col min="11530" max="11530" width="19.140625" style="3" customWidth="1"/>
    <col min="11531" max="11533" width="9.140625" style="3"/>
    <col min="11534" max="11534" width="11.42578125" style="3" customWidth="1"/>
    <col min="11535" max="11539" width="9.140625" style="3"/>
    <col min="11540" max="11540" width="10.28515625" style="3" customWidth="1"/>
    <col min="11541" max="11542" width="9.140625" style="3"/>
    <col min="11543" max="11544" width="0" style="3" hidden="1" customWidth="1"/>
    <col min="11545" max="11551" width="9.140625" style="3"/>
    <col min="11552" max="11552" width="7.5703125" style="3" customWidth="1"/>
    <col min="11553" max="11555" width="9.140625" style="3"/>
    <col min="11556" max="11556" width="10.85546875" style="3" customWidth="1"/>
    <col min="11557" max="11557" width="13.42578125" style="3" customWidth="1"/>
    <col min="11558" max="11783" width="9.140625" style="3"/>
    <col min="11784" max="11784" width="5.140625" style="3" customWidth="1"/>
    <col min="11785" max="11785" width="24.85546875" style="3" customWidth="1"/>
    <col min="11786" max="11786" width="19.140625" style="3" customWidth="1"/>
    <col min="11787" max="11789" width="9.140625" style="3"/>
    <col min="11790" max="11790" width="11.42578125" style="3" customWidth="1"/>
    <col min="11791" max="11795" width="9.140625" style="3"/>
    <col min="11796" max="11796" width="10.28515625" style="3" customWidth="1"/>
    <col min="11797" max="11798" width="9.140625" style="3"/>
    <col min="11799" max="11800" width="0" style="3" hidden="1" customWidth="1"/>
    <col min="11801" max="11807" width="9.140625" style="3"/>
    <col min="11808" max="11808" width="7.5703125" style="3" customWidth="1"/>
    <col min="11809" max="11811" width="9.140625" style="3"/>
    <col min="11812" max="11812" width="10.85546875" style="3" customWidth="1"/>
    <col min="11813" max="11813" width="13.42578125" style="3" customWidth="1"/>
    <col min="11814" max="12039" width="9.140625" style="3"/>
    <col min="12040" max="12040" width="5.140625" style="3" customWidth="1"/>
    <col min="12041" max="12041" width="24.85546875" style="3" customWidth="1"/>
    <col min="12042" max="12042" width="19.140625" style="3" customWidth="1"/>
    <col min="12043" max="12045" width="9.140625" style="3"/>
    <col min="12046" max="12046" width="11.42578125" style="3" customWidth="1"/>
    <col min="12047" max="12051" width="9.140625" style="3"/>
    <col min="12052" max="12052" width="10.28515625" style="3" customWidth="1"/>
    <col min="12053" max="12054" width="9.140625" style="3"/>
    <col min="12055" max="12056" width="0" style="3" hidden="1" customWidth="1"/>
    <col min="12057" max="12063" width="9.140625" style="3"/>
    <col min="12064" max="12064" width="7.5703125" style="3" customWidth="1"/>
    <col min="12065" max="12067" width="9.140625" style="3"/>
    <col min="12068" max="12068" width="10.85546875" style="3" customWidth="1"/>
    <col min="12069" max="12069" width="13.42578125" style="3" customWidth="1"/>
    <col min="12070" max="12295" width="9.140625" style="3"/>
    <col min="12296" max="12296" width="5.140625" style="3" customWidth="1"/>
    <col min="12297" max="12297" width="24.85546875" style="3" customWidth="1"/>
    <col min="12298" max="12298" width="19.140625" style="3" customWidth="1"/>
    <col min="12299" max="12301" width="9.140625" style="3"/>
    <col min="12302" max="12302" width="11.42578125" style="3" customWidth="1"/>
    <col min="12303" max="12307" width="9.140625" style="3"/>
    <col min="12308" max="12308" width="10.28515625" style="3" customWidth="1"/>
    <col min="12309" max="12310" width="9.140625" style="3"/>
    <col min="12311" max="12312" width="0" style="3" hidden="1" customWidth="1"/>
    <col min="12313" max="12319" width="9.140625" style="3"/>
    <col min="12320" max="12320" width="7.5703125" style="3" customWidth="1"/>
    <col min="12321" max="12323" width="9.140625" style="3"/>
    <col min="12324" max="12324" width="10.85546875" style="3" customWidth="1"/>
    <col min="12325" max="12325" width="13.42578125" style="3" customWidth="1"/>
    <col min="12326" max="12551" width="9.140625" style="3"/>
    <col min="12552" max="12552" width="5.140625" style="3" customWidth="1"/>
    <col min="12553" max="12553" width="24.85546875" style="3" customWidth="1"/>
    <col min="12554" max="12554" width="19.140625" style="3" customWidth="1"/>
    <col min="12555" max="12557" width="9.140625" style="3"/>
    <col min="12558" max="12558" width="11.42578125" style="3" customWidth="1"/>
    <col min="12559" max="12563" width="9.140625" style="3"/>
    <col min="12564" max="12564" width="10.28515625" style="3" customWidth="1"/>
    <col min="12565" max="12566" width="9.140625" style="3"/>
    <col min="12567" max="12568" width="0" style="3" hidden="1" customWidth="1"/>
    <col min="12569" max="12575" width="9.140625" style="3"/>
    <col min="12576" max="12576" width="7.5703125" style="3" customWidth="1"/>
    <col min="12577" max="12579" width="9.140625" style="3"/>
    <col min="12580" max="12580" width="10.85546875" style="3" customWidth="1"/>
    <col min="12581" max="12581" width="13.42578125" style="3" customWidth="1"/>
    <col min="12582" max="12807" width="9.140625" style="3"/>
    <col min="12808" max="12808" width="5.140625" style="3" customWidth="1"/>
    <col min="12809" max="12809" width="24.85546875" style="3" customWidth="1"/>
    <col min="12810" max="12810" width="19.140625" style="3" customWidth="1"/>
    <col min="12811" max="12813" width="9.140625" style="3"/>
    <col min="12814" max="12814" width="11.42578125" style="3" customWidth="1"/>
    <col min="12815" max="12819" width="9.140625" style="3"/>
    <col min="12820" max="12820" width="10.28515625" style="3" customWidth="1"/>
    <col min="12821" max="12822" width="9.140625" style="3"/>
    <col min="12823" max="12824" width="0" style="3" hidden="1" customWidth="1"/>
    <col min="12825" max="12831" width="9.140625" style="3"/>
    <col min="12832" max="12832" width="7.5703125" style="3" customWidth="1"/>
    <col min="12833" max="12835" width="9.140625" style="3"/>
    <col min="12836" max="12836" width="10.85546875" style="3" customWidth="1"/>
    <col min="12837" max="12837" width="13.42578125" style="3" customWidth="1"/>
    <col min="12838" max="13063" width="9.140625" style="3"/>
    <col min="13064" max="13064" width="5.140625" style="3" customWidth="1"/>
    <col min="13065" max="13065" width="24.85546875" style="3" customWidth="1"/>
    <col min="13066" max="13066" width="19.140625" style="3" customWidth="1"/>
    <col min="13067" max="13069" width="9.140625" style="3"/>
    <col min="13070" max="13070" width="11.42578125" style="3" customWidth="1"/>
    <col min="13071" max="13075" width="9.140625" style="3"/>
    <col min="13076" max="13076" width="10.28515625" style="3" customWidth="1"/>
    <col min="13077" max="13078" width="9.140625" style="3"/>
    <col min="13079" max="13080" width="0" style="3" hidden="1" customWidth="1"/>
    <col min="13081" max="13087" width="9.140625" style="3"/>
    <col min="13088" max="13088" width="7.5703125" style="3" customWidth="1"/>
    <col min="13089" max="13091" width="9.140625" style="3"/>
    <col min="13092" max="13092" width="10.85546875" style="3" customWidth="1"/>
    <col min="13093" max="13093" width="13.42578125" style="3" customWidth="1"/>
    <col min="13094" max="13319" width="9.140625" style="3"/>
    <col min="13320" max="13320" width="5.140625" style="3" customWidth="1"/>
    <col min="13321" max="13321" width="24.85546875" style="3" customWidth="1"/>
    <col min="13322" max="13322" width="19.140625" style="3" customWidth="1"/>
    <col min="13323" max="13325" width="9.140625" style="3"/>
    <col min="13326" max="13326" width="11.42578125" style="3" customWidth="1"/>
    <col min="13327" max="13331" width="9.140625" style="3"/>
    <col min="13332" max="13332" width="10.28515625" style="3" customWidth="1"/>
    <col min="13333" max="13334" width="9.140625" style="3"/>
    <col min="13335" max="13336" width="0" style="3" hidden="1" customWidth="1"/>
    <col min="13337" max="13343" width="9.140625" style="3"/>
    <col min="13344" max="13344" width="7.5703125" style="3" customWidth="1"/>
    <col min="13345" max="13347" width="9.140625" style="3"/>
    <col min="13348" max="13348" width="10.85546875" style="3" customWidth="1"/>
    <col min="13349" max="13349" width="13.42578125" style="3" customWidth="1"/>
    <col min="13350" max="13575" width="9.140625" style="3"/>
    <col min="13576" max="13576" width="5.140625" style="3" customWidth="1"/>
    <col min="13577" max="13577" width="24.85546875" style="3" customWidth="1"/>
    <col min="13578" max="13578" width="19.140625" style="3" customWidth="1"/>
    <col min="13579" max="13581" width="9.140625" style="3"/>
    <col min="13582" max="13582" width="11.42578125" style="3" customWidth="1"/>
    <col min="13583" max="13587" width="9.140625" style="3"/>
    <col min="13588" max="13588" width="10.28515625" style="3" customWidth="1"/>
    <col min="13589" max="13590" width="9.140625" style="3"/>
    <col min="13591" max="13592" width="0" style="3" hidden="1" customWidth="1"/>
    <col min="13593" max="13599" width="9.140625" style="3"/>
    <col min="13600" max="13600" width="7.5703125" style="3" customWidth="1"/>
    <col min="13601" max="13603" width="9.140625" style="3"/>
    <col min="13604" max="13604" width="10.85546875" style="3" customWidth="1"/>
    <col min="13605" max="13605" width="13.42578125" style="3" customWidth="1"/>
    <col min="13606" max="13831" width="9.140625" style="3"/>
    <col min="13832" max="13832" width="5.140625" style="3" customWidth="1"/>
    <col min="13833" max="13833" width="24.85546875" style="3" customWidth="1"/>
    <col min="13834" max="13834" width="19.140625" style="3" customWidth="1"/>
    <col min="13835" max="13837" width="9.140625" style="3"/>
    <col min="13838" max="13838" width="11.42578125" style="3" customWidth="1"/>
    <col min="13839" max="13843" width="9.140625" style="3"/>
    <col min="13844" max="13844" width="10.28515625" style="3" customWidth="1"/>
    <col min="13845" max="13846" width="9.140625" style="3"/>
    <col min="13847" max="13848" width="0" style="3" hidden="1" customWidth="1"/>
    <col min="13849" max="13855" width="9.140625" style="3"/>
    <col min="13856" max="13856" width="7.5703125" style="3" customWidth="1"/>
    <col min="13857" max="13859" width="9.140625" style="3"/>
    <col min="13860" max="13860" width="10.85546875" style="3" customWidth="1"/>
    <col min="13861" max="13861" width="13.42578125" style="3" customWidth="1"/>
    <col min="13862" max="14087" width="9.140625" style="3"/>
    <col min="14088" max="14088" width="5.140625" style="3" customWidth="1"/>
    <col min="14089" max="14089" width="24.85546875" style="3" customWidth="1"/>
    <col min="14090" max="14090" width="19.140625" style="3" customWidth="1"/>
    <col min="14091" max="14093" width="9.140625" style="3"/>
    <col min="14094" max="14094" width="11.42578125" style="3" customWidth="1"/>
    <col min="14095" max="14099" width="9.140625" style="3"/>
    <col min="14100" max="14100" width="10.28515625" style="3" customWidth="1"/>
    <col min="14101" max="14102" width="9.140625" style="3"/>
    <col min="14103" max="14104" width="0" style="3" hidden="1" customWidth="1"/>
    <col min="14105" max="14111" width="9.140625" style="3"/>
    <col min="14112" max="14112" width="7.5703125" style="3" customWidth="1"/>
    <col min="14113" max="14115" width="9.140625" style="3"/>
    <col min="14116" max="14116" width="10.85546875" style="3" customWidth="1"/>
    <col min="14117" max="14117" width="13.42578125" style="3" customWidth="1"/>
    <col min="14118" max="14343" width="9.140625" style="3"/>
    <col min="14344" max="14344" width="5.140625" style="3" customWidth="1"/>
    <col min="14345" max="14345" width="24.85546875" style="3" customWidth="1"/>
    <col min="14346" max="14346" width="19.140625" style="3" customWidth="1"/>
    <col min="14347" max="14349" width="9.140625" style="3"/>
    <col min="14350" max="14350" width="11.42578125" style="3" customWidth="1"/>
    <col min="14351" max="14355" width="9.140625" style="3"/>
    <col min="14356" max="14356" width="10.28515625" style="3" customWidth="1"/>
    <col min="14357" max="14358" width="9.140625" style="3"/>
    <col min="14359" max="14360" width="0" style="3" hidden="1" customWidth="1"/>
    <col min="14361" max="14367" width="9.140625" style="3"/>
    <col min="14368" max="14368" width="7.5703125" style="3" customWidth="1"/>
    <col min="14369" max="14371" width="9.140625" style="3"/>
    <col min="14372" max="14372" width="10.85546875" style="3" customWidth="1"/>
    <col min="14373" max="14373" width="13.42578125" style="3" customWidth="1"/>
    <col min="14374" max="14599" width="9.140625" style="3"/>
    <col min="14600" max="14600" width="5.140625" style="3" customWidth="1"/>
    <col min="14601" max="14601" width="24.85546875" style="3" customWidth="1"/>
    <col min="14602" max="14602" width="19.140625" style="3" customWidth="1"/>
    <col min="14603" max="14605" width="9.140625" style="3"/>
    <col min="14606" max="14606" width="11.42578125" style="3" customWidth="1"/>
    <col min="14607" max="14611" width="9.140625" style="3"/>
    <col min="14612" max="14612" width="10.28515625" style="3" customWidth="1"/>
    <col min="14613" max="14614" width="9.140625" style="3"/>
    <col min="14615" max="14616" width="0" style="3" hidden="1" customWidth="1"/>
    <col min="14617" max="14623" width="9.140625" style="3"/>
    <col min="14624" max="14624" width="7.5703125" style="3" customWidth="1"/>
    <col min="14625" max="14627" width="9.140625" style="3"/>
    <col min="14628" max="14628" width="10.85546875" style="3" customWidth="1"/>
    <col min="14629" max="14629" width="13.42578125" style="3" customWidth="1"/>
    <col min="14630" max="14855" width="9.140625" style="3"/>
    <col min="14856" max="14856" width="5.140625" style="3" customWidth="1"/>
    <col min="14857" max="14857" width="24.85546875" style="3" customWidth="1"/>
    <col min="14858" max="14858" width="19.140625" style="3" customWidth="1"/>
    <col min="14859" max="14861" width="9.140625" style="3"/>
    <col min="14862" max="14862" width="11.42578125" style="3" customWidth="1"/>
    <col min="14863" max="14867" width="9.140625" style="3"/>
    <col min="14868" max="14868" width="10.28515625" style="3" customWidth="1"/>
    <col min="14869" max="14870" width="9.140625" style="3"/>
    <col min="14871" max="14872" width="0" style="3" hidden="1" customWidth="1"/>
    <col min="14873" max="14879" width="9.140625" style="3"/>
    <col min="14880" max="14880" width="7.5703125" style="3" customWidth="1"/>
    <col min="14881" max="14883" width="9.140625" style="3"/>
    <col min="14884" max="14884" width="10.85546875" style="3" customWidth="1"/>
    <col min="14885" max="14885" width="13.42578125" style="3" customWidth="1"/>
    <col min="14886" max="15111" width="9.140625" style="3"/>
    <col min="15112" max="15112" width="5.140625" style="3" customWidth="1"/>
    <col min="15113" max="15113" width="24.85546875" style="3" customWidth="1"/>
    <col min="15114" max="15114" width="19.140625" style="3" customWidth="1"/>
    <col min="15115" max="15117" width="9.140625" style="3"/>
    <col min="15118" max="15118" width="11.42578125" style="3" customWidth="1"/>
    <col min="15119" max="15123" width="9.140625" style="3"/>
    <col min="15124" max="15124" width="10.28515625" style="3" customWidth="1"/>
    <col min="15125" max="15126" width="9.140625" style="3"/>
    <col min="15127" max="15128" width="0" style="3" hidden="1" customWidth="1"/>
    <col min="15129" max="15135" width="9.140625" style="3"/>
    <col min="15136" max="15136" width="7.5703125" style="3" customWidth="1"/>
    <col min="15137" max="15139" width="9.140625" style="3"/>
    <col min="15140" max="15140" width="10.85546875" style="3" customWidth="1"/>
    <col min="15141" max="15141" width="13.42578125" style="3" customWidth="1"/>
    <col min="15142" max="15367" width="9.140625" style="3"/>
    <col min="15368" max="15368" width="5.140625" style="3" customWidth="1"/>
    <col min="15369" max="15369" width="24.85546875" style="3" customWidth="1"/>
    <col min="15370" max="15370" width="19.140625" style="3" customWidth="1"/>
    <col min="15371" max="15373" width="9.140625" style="3"/>
    <col min="15374" max="15374" width="11.42578125" style="3" customWidth="1"/>
    <col min="15375" max="15379" width="9.140625" style="3"/>
    <col min="15380" max="15380" width="10.28515625" style="3" customWidth="1"/>
    <col min="15381" max="15382" width="9.140625" style="3"/>
    <col min="15383" max="15384" width="0" style="3" hidden="1" customWidth="1"/>
    <col min="15385" max="15391" width="9.140625" style="3"/>
    <col min="15392" max="15392" width="7.5703125" style="3" customWidth="1"/>
    <col min="15393" max="15395" width="9.140625" style="3"/>
    <col min="15396" max="15396" width="10.85546875" style="3" customWidth="1"/>
    <col min="15397" max="15397" width="13.42578125" style="3" customWidth="1"/>
    <col min="15398" max="15623" width="9.140625" style="3"/>
    <col min="15624" max="15624" width="5.140625" style="3" customWidth="1"/>
    <col min="15625" max="15625" width="24.85546875" style="3" customWidth="1"/>
    <col min="15626" max="15626" width="19.140625" style="3" customWidth="1"/>
    <col min="15627" max="15629" width="9.140625" style="3"/>
    <col min="15630" max="15630" width="11.42578125" style="3" customWidth="1"/>
    <col min="15631" max="15635" width="9.140625" style="3"/>
    <col min="15636" max="15636" width="10.28515625" style="3" customWidth="1"/>
    <col min="15637" max="15638" width="9.140625" style="3"/>
    <col min="15639" max="15640" width="0" style="3" hidden="1" customWidth="1"/>
    <col min="15641" max="15647" width="9.140625" style="3"/>
    <col min="15648" max="15648" width="7.5703125" style="3" customWidth="1"/>
    <col min="15649" max="15651" width="9.140625" style="3"/>
    <col min="15652" max="15652" width="10.85546875" style="3" customWidth="1"/>
    <col min="15653" max="15653" width="13.42578125" style="3" customWidth="1"/>
    <col min="15654" max="15879" width="9.140625" style="3"/>
    <col min="15880" max="15880" width="5.140625" style="3" customWidth="1"/>
    <col min="15881" max="15881" width="24.85546875" style="3" customWidth="1"/>
    <col min="15882" max="15882" width="19.140625" style="3" customWidth="1"/>
    <col min="15883" max="15885" width="9.140625" style="3"/>
    <col min="15886" max="15886" width="11.42578125" style="3" customWidth="1"/>
    <col min="15887" max="15891" width="9.140625" style="3"/>
    <col min="15892" max="15892" width="10.28515625" style="3" customWidth="1"/>
    <col min="15893" max="15894" width="9.140625" style="3"/>
    <col min="15895" max="15896" width="0" style="3" hidden="1" customWidth="1"/>
    <col min="15897" max="15903" width="9.140625" style="3"/>
    <col min="15904" max="15904" width="7.5703125" style="3" customWidth="1"/>
    <col min="15905" max="15907" width="9.140625" style="3"/>
    <col min="15908" max="15908" width="10.85546875" style="3" customWidth="1"/>
    <col min="15909" max="15909" width="13.42578125" style="3" customWidth="1"/>
    <col min="15910" max="16135" width="9.140625" style="3"/>
    <col min="16136" max="16136" width="5.140625" style="3" customWidth="1"/>
    <col min="16137" max="16137" width="24.85546875" style="3" customWidth="1"/>
    <col min="16138" max="16138" width="19.140625" style="3" customWidth="1"/>
    <col min="16139" max="16141" width="9.140625" style="3"/>
    <col min="16142" max="16142" width="11.42578125" style="3" customWidth="1"/>
    <col min="16143" max="16147" width="9.140625" style="3"/>
    <col min="16148" max="16148" width="10.28515625" style="3" customWidth="1"/>
    <col min="16149" max="16150" width="9.140625" style="3"/>
    <col min="16151" max="16152" width="0" style="3" hidden="1" customWidth="1"/>
    <col min="16153" max="16159" width="9.140625" style="3"/>
    <col min="16160" max="16160" width="7.5703125" style="3" customWidth="1"/>
    <col min="16161" max="16163" width="9.140625" style="3"/>
    <col min="16164" max="16164" width="10.85546875" style="3" customWidth="1"/>
    <col min="16165" max="16165" width="13.42578125" style="3" customWidth="1"/>
    <col min="16166" max="16381" width="9.140625" style="3"/>
    <col min="16382" max="16384" width="9.140625" style="3" customWidth="1"/>
  </cols>
  <sheetData>
    <row r="1" spans="1:43" ht="15">
      <c r="A1" s="1"/>
      <c r="B1" s="134"/>
      <c r="C1" s="134"/>
      <c r="D1" s="134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83"/>
      <c r="AN1" s="2"/>
      <c r="AO1" s="2"/>
      <c r="AP1" s="2"/>
    </row>
    <row r="2" spans="1:43" ht="15">
      <c r="A2" s="1"/>
      <c r="B2" s="134" t="s">
        <v>90</v>
      </c>
      <c r="C2" s="134"/>
      <c r="D2" s="134"/>
      <c r="E2" s="1"/>
      <c r="F2" s="1"/>
      <c r="G2" s="1"/>
      <c r="H2" s="1"/>
      <c r="I2" s="1"/>
      <c r="J2" s="2"/>
      <c r="K2" s="2"/>
      <c r="L2" s="2"/>
      <c r="M2" s="135" t="s">
        <v>0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2"/>
      <c r="AK2" s="2"/>
      <c r="AL2" s="2"/>
      <c r="AM2" s="83"/>
      <c r="AN2" s="2"/>
      <c r="AO2" s="2"/>
      <c r="AP2" s="2"/>
    </row>
    <row r="3" spans="1:43" ht="15">
      <c r="A3" s="1"/>
      <c r="B3" s="136" t="s">
        <v>123</v>
      </c>
      <c r="C3" s="136"/>
      <c r="D3" s="136"/>
      <c r="E3" s="137"/>
      <c r="F3" s="137"/>
      <c r="G3" s="1"/>
      <c r="H3" s="1"/>
      <c r="I3" s="1"/>
      <c r="J3" s="2"/>
      <c r="K3" s="2"/>
      <c r="L3" s="2"/>
      <c r="M3" s="42"/>
      <c r="N3" s="2"/>
      <c r="O3" s="2"/>
      <c r="P3" s="80"/>
      <c r="Q3" s="80"/>
      <c r="R3" s="80"/>
      <c r="S3" s="80"/>
      <c r="T3" s="42"/>
      <c r="U3" s="42"/>
      <c r="V3" s="42"/>
      <c r="W3" s="81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2"/>
      <c r="AK3" s="2"/>
      <c r="AL3" s="2"/>
      <c r="AM3" s="83"/>
      <c r="AN3" s="2"/>
      <c r="AO3" s="2"/>
      <c r="AP3" s="2"/>
    </row>
    <row r="4" spans="1:43" ht="15">
      <c r="A4" s="1"/>
      <c r="B4" s="136" t="s">
        <v>157</v>
      </c>
      <c r="C4" s="136"/>
      <c r="D4" s="136"/>
      <c r="E4" s="137"/>
      <c r="F4" s="137"/>
      <c r="G4" s="1"/>
      <c r="H4" s="1"/>
      <c r="I4" s="1"/>
      <c r="J4" s="2"/>
      <c r="K4" s="4"/>
      <c r="L4" s="2"/>
      <c r="M4" s="2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83"/>
      <c r="AN4" s="2"/>
      <c r="AO4" s="2"/>
      <c r="AP4" s="2"/>
    </row>
    <row r="5" spans="1:43" ht="15">
      <c r="A5" s="1"/>
      <c r="B5" s="134" t="s">
        <v>158</v>
      </c>
      <c r="C5" s="134"/>
      <c r="D5" s="134"/>
      <c r="E5" s="77"/>
      <c r="F5" s="41"/>
      <c r="G5" s="1"/>
      <c r="H5" s="1"/>
      <c r="I5" s="1"/>
      <c r="J5" s="2"/>
      <c r="K5" s="4"/>
      <c r="L5" s="2"/>
      <c r="M5" s="2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83"/>
      <c r="AN5" s="2"/>
      <c r="AO5" s="2"/>
      <c r="AP5" s="2"/>
    </row>
    <row r="6" spans="1:43" ht="15">
      <c r="A6" s="5"/>
      <c r="B6" s="134"/>
      <c r="C6" s="134"/>
      <c r="D6" s="134"/>
      <c r="E6" s="1"/>
      <c r="F6" s="1"/>
      <c r="G6" s="6" t="s">
        <v>1</v>
      </c>
      <c r="H6" s="7">
        <v>17697</v>
      </c>
      <c r="I6" s="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4"/>
      <c r="AN6" s="8"/>
      <c r="AO6" s="8"/>
      <c r="AP6" s="8"/>
    </row>
    <row r="7" spans="1:43" s="20" customFormat="1" ht="12.75" customHeight="1">
      <c r="A7" s="141" t="s">
        <v>159</v>
      </c>
      <c r="B7" s="132" t="s">
        <v>3</v>
      </c>
      <c r="C7" s="132" t="s">
        <v>4</v>
      </c>
      <c r="D7" s="132" t="s">
        <v>5</v>
      </c>
      <c r="E7" s="132"/>
      <c r="F7" s="132"/>
      <c r="G7" s="9"/>
      <c r="H7" s="9"/>
      <c r="I7" s="142" t="s">
        <v>6</v>
      </c>
      <c r="J7" s="145" t="s">
        <v>7</v>
      </c>
      <c r="K7" s="133" t="s">
        <v>128</v>
      </c>
      <c r="L7" s="133"/>
      <c r="M7" s="132" t="s">
        <v>9</v>
      </c>
      <c r="N7" s="133" t="s">
        <v>8</v>
      </c>
      <c r="O7" s="133"/>
      <c r="P7" s="132" t="s">
        <v>9</v>
      </c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2" t="s">
        <v>10</v>
      </c>
      <c r="AN7" s="132" t="s">
        <v>11</v>
      </c>
      <c r="AO7" s="152" t="s">
        <v>12</v>
      </c>
      <c r="AP7" s="152"/>
      <c r="AQ7" s="132" t="s">
        <v>129</v>
      </c>
    </row>
    <row r="8" spans="1:43" s="20" customFormat="1" ht="28.5" customHeight="1">
      <c r="A8" s="141"/>
      <c r="B8" s="132"/>
      <c r="C8" s="132"/>
      <c r="D8" s="132"/>
      <c r="E8" s="132" t="s">
        <v>13</v>
      </c>
      <c r="F8" s="132" t="s">
        <v>14</v>
      </c>
      <c r="G8" s="132" t="s">
        <v>15</v>
      </c>
      <c r="H8" s="132" t="s">
        <v>16</v>
      </c>
      <c r="I8" s="143"/>
      <c r="J8" s="146"/>
      <c r="K8" s="133"/>
      <c r="L8" s="133"/>
      <c r="M8" s="132"/>
      <c r="N8" s="133"/>
      <c r="O8" s="133"/>
      <c r="P8" s="132"/>
      <c r="Q8" s="138" t="s">
        <v>17</v>
      </c>
      <c r="R8" s="139"/>
      <c r="S8" s="132" t="s">
        <v>17</v>
      </c>
      <c r="T8" s="132"/>
      <c r="U8" s="133" t="s">
        <v>18</v>
      </c>
      <c r="V8" s="133"/>
      <c r="W8" s="128"/>
      <c r="X8" s="148">
        <v>0.1</v>
      </c>
      <c r="Y8" s="133"/>
      <c r="Z8" s="124"/>
      <c r="AA8" s="124"/>
      <c r="AB8" s="149">
        <v>0.2</v>
      </c>
      <c r="AC8" s="150"/>
      <c r="AD8" s="151">
        <v>0.3</v>
      </c>
      <c r="AE8" s="151"/>
      <c r="AF8" s="151">
        <v>0.34</v>
      </c>
      <c r="AG8" s="151"/>
      <c r="AH8" s="140" t="s">
        <v>19</v>
      </c>
      <c r="AI8" s="140"/>
      <c r="AJ8" s="132" t="s">
        <v>20</v>
      </c>
      <c r="AK8" s="132"/>
      <c r="AL8" s="132" t="s">
        <v>21</v>
      </c>
      <c r="AM8" s="132"/>
      <c r="AN8" s="132"/>
      <c r="AO8" s="152"/>
      <c r="AP8" s="152"/>
      <c r="AQ8" s="132"/>
    </row>
    <row r="9" spans="1:43" s="20" customFormat="1" ht="27.75" customHeight="1">
      <c r="A9" s="141"/>
      <c r="B9" s="132"/>
      <c r="C9" s="132"/>
      <c r="D9" s="132"/>
      <c r="E9" s="132"/>
      <c r="F9" s="132"/>
      <c r="G9" s="132"/>
      <c r="H9" s="132"/>
      <c r="I9" s="144"/>
      <c r="J9" s="147"/>
      <c r="K9" s="130" t="s">
        <v>22</v>
      </c>
      <c r="L9" s="10" t="s">
        <v>7</v>
      </c>
      <c r="M9" s="132"/>
      <c r="N9" s="130" t="s">
        <v>22</v>
      </c>
      <c r="O9" s="10" t="s">
        <v>7</v>
      </c>
      <c r="P9" s="132"/>
      <c r="Q9" s="130" t="s">
        <v>22</v>
      </c>
      <c r="R9" s="128" t="s">
        <v>23</v>
      </c>
      <c r="S9" s="130" t="s">
        <v>22</v>
      </c>
      <c r="T9" s="128" t="s">
        <v>23</v>
      </c>
      <c r="U9" s="128" t="s">
        <v>24</v>
      </c>
      <c r="V9" s="128" t="s">
        <v>23</v>
      </c>
      <c r="W9" s="128"/>
      <c r="X9" s="128" t="s">
        <v>25</v>
      </c>
      <c r="Y9" s="128" t="s">
        <v>23</v>
      </c>
      <c r="Z9" s="128"/>
      <c r="AA9" s="128"/>
      <c r="AB9" s="128" t="s">
        <v>25</v>
      </c>
      <c r="AC9" s="128" t="s">
        <v>23</v>
      </c>
      <c r="AD9" s="128" t="s">
        <v>25</v>
      </c>
      <c r="AE9" s="128" t="s">
        <v>23</v>
      </c>
      <c r="AF9" s="128" t="s">
        <v>25</v>
      </c>
      <c r="AG9" s="128" t="s">
        <v>23</v>
      </c>
      <c r="AH9" s="127" t="s">
        <v>26</v>
      </c>
      <c r="AI9" s="127" t="s">
        <v>23</v>
      </c>
      <c r="AJ9" s="127" t="s">
        <v>26</v>
      </c>
      <c r="AK9" s="127" t="s">
        <v>23</v>
      </c>
      <c r="AL9" s="132"/>
      <c r="AM9" s="132"/>
      <c r="AN9" s="132"/>
      <c r="AO9" s="128" t="s">
        <v>27</v>
      </c>
      <c r="AP9" s="128" t="s">
        <v>7</v>
      </c>
      <c r="AQ9" s="132"/>
    </row>
    <row r="10" spans="1:43" s="20" customFormat="1" ht="15">
      <c r="A10" s="129">
        <v>1</v>
      </c>
      <c r="B10" s="128">
        <v>2</v>
      </c>
      <c r="C10" s="129">
        <v>3</v>
      </c>
      <c r="D10" s="128">
        <v>4</v>
      </c>
      <c r="E10" s="129"/>
      <c r="F10" s="128">
        <v>6</v>
      </c>
      <c r="G10" s="129">
        <v>7</v>
      </c>
      <c r="H10" s="128">
        <v>8</v>
      </c>
      <c r="I10" s="129">
        <v>9</v>
      </c>
      <c r="J10" s="128">
        <v>10</v>
      </c>
      <c r="K10" s="129">
        <v>11</v>
      </c>
      <c r="L10" s="128">
        <v>12</v>
      </c>
      <c r="M10" s="129">
        <v>13</v>
      </c>
      <c r="N10" s="129">
        <v>11</v>
      </c>
      <c r="O10" s="128">
        <v>12</v>
      </c>
      <c r="P10" s="129">
        <v>13</v>
      </c>
      <c r="Q10" s="128">
        <v>14</v>
      </c>
      <c r="R10" s="129">
        <v>15</v>
      </c>
      <c r="S10" s="128">
        <v>14</v>
      </c>
      <c r="T10" s="129">
        <v>15</v>
      </c>
      <c r="U10" s="128">
        <v>16</v>
      </c>
      <c r="V10" s="129">
        <v>17</v>
      </c>
      <c r="W10" s="129"/>
      <c r="X10" s="128">
        <v>18</v>
      </c>
      <c r="Y10" s="129">
        <v>19</v>
      </c>
      <c r="Z10" s="129"/>
      <c r="AA10" s="129"/>
      <c r="AB10" s="128">
        <v>20</v>
      </c>
      <c r="AC10" s="129">
        <v>21</v>
      </c>
      <c r="AD10" s="128">
        <v>22</v>
      </c>
      <c r="AE10" s="129">
        <v>23</v>
      </c>
      <c r="AF10" s="128">
        <v>22</v>
      </c>
      <c r="AG10" s="129">
        <v>23</v>
      </c>
      <c r="AH10" s="128">
        <v>24</v>
      </c>
      <c r="AI10" s="129">
        <v>25</v>
      </c>
      <c r="AJ10" s="128">
        <v>26</v>
      </c>
      <c r="AK10" s="129">
        <v>27</v>
      </c>
      <c r="AL10" s="128">
        <v>28</v>
      </c>
      <c r="AM10" s="129">
        <v>29</v>
      </c>
      <c r="AN10" s="128">
        <v>30</v>
      </c>
      <c r="AO10" s="129">
        <v>31</v>
      </c>
      <c r="AP10" s="128">
        <v>32</v>
      </c>
      <c r="AQ10" s="126">
        <v>33</v>
      </c>
    </row>
    <row r="11" spans="1:43" s="20" customFormat="1" ht="12.75" customHeight="1">
      <c r="A11" s="11">
        <v>1</v>
      </c>
      <c r="B11" s="11" t="s">
        <v>28</v>
      </c>
      <c r="C11" s="11" t="s">
        <v>29</v>
      </c>
      <c r="D11" s="11" t="s">
        <v>30</v>
      </c>
      <c r="E11" s="12" t="s">
        <v>31</v>
      </c>
      <c r="F11" s="11"/>
      <c r="G11" s="13" t="s">
        <v>132</v>
      </c>
      <c r="H11" s="14">
        <v>5.91</v>
      </c>
      <c r="I11" s="12">
        <v>1</v>
      </c>
      <c r="J11" s="12">
        <f>SUM($H$6*H11)*I11</f>
        <v>104589.27</v>
      </c>
      <c r="K11" s="128"/>
      <c r="L11" s="15">
        <f>SUM(J11*K11)/100</f>
        <v>0</v>
      </c>
      <c r="M11" s="15">
        <f>SUM(J11,L11)</f>
        <v>104589.27</v>
      </c>
      <c r="N11" s="128">
        <v>25</v>
      </c>
      <c r="O11" s="15">
        <f>SUM(M11*N11)/100</f>
        <v>26147.317500000001</v>
      </c>
      <c r="P11" s="15">
        <f>SUM(M11,O11)</f>
        <v>130736.58750000001</v>
      </c>
      <c r="Q11" s="12"/>
      <c r="R11" s="12">
        <f>SUM($H$6*Q11/100)</f>
        <v>0</v>
      </c>
      <c r="S11" s="12"/>
      <c r="T11" s="12">
        <f>SUM($H$6*S11/100)</f>
        <v>0</v>
      </c>
      <c r="U11" s="128"/>
      <c r="V11" s="12">
        <f>SUM($H$6*3.5/100)*U11</f>
        <v>0</v>
      </c>
      <c r="W11" s="12">
        <v>1</v>
      </c>
      <c r="X11" s="12"/>
      <c r="Y11" s="16">
        <v>10459</v>
      </c>
      <c r="Z11" s="16"/>
      <c r="AA11" s="12">
        <v>1</v>
      </c>
      <c r="AB11" s="12"/>
      <c r="AC11" s="15">
        <f>SUM($H$6*0.2)*AB11</f>
        <v>0</v>
      </c>
      <c r="AD11" s="12"/>
      <c r="AE11" s="15">
        <f>SUM($H$6*0.3)*AD11</f>
        <v>0</v>
      </c>
      <c r="AF11" s="12"/>
      <c r="AG11" s="15">
        <f>SUM($H$6*0.3)*AF11</f>
        <v>0</v>
      </c>
      <c r="AH11" s="128"/>
      <c r="AI11" s="12">
        <f t="shared" ref="AI11:AI43" si="0">SUM($H$6*H11*I11/168*24)/12*AH11</f>
        <v>0</v>
      </c>
      <c r="AJ11" s="128"/>
      <c r="AK11" s="12">
        <f t="shared" ref="AK11:AK46" si="1">SUM($H$6*H11*I11*0.5/168*8)*AJ11</f>
        <v>0</v>
      </c>
      <c r="AL11" s="15">
        <f t="shared" ref="AL11:AL46" si="2">SUM(R11,T11,Y11,AC11,AE11,AI11,AK11)</f>
        <v>10459</v>
      </c>
      <c r="AM11" s="15">
        <f>SUM(P11+AL11)</f>
        <v>141195.58750000002</v>
      </c>
      <c r="AN11" s="15">
        <f>SUM(AM11*12)</f>
        <v>1694347.0500000003</v>
      </c>
      <c r="AO11" s="17">
        <v>1</v>
      </c>
      <c r="AP11" s="18">
        <f>P11</f>
        <v>130736.58750000001</v>
      </c>
      <c r="AQ11" s="19">
        <f>AN11+AP11</f>
        <v>1825083.6375000002</v>
      </c>
    </row>
    <row r="12" spans="1:43" s="20" customFormat="1" ht="12.75" customHeight="1">
      <c r="A12" s="11">
        <v>2</v>
      </c>
      <c r="B12" s="11" t="s">
        <v>32</v>
      </c>
      <c r="C12" s="11" t="s">
        <v>33</v>
      </c>
      <c r="D12" s="11" t="s">
        <v>30</v>
      </c>
      <c r="E12" s="12" t="s">
        <v>34</v>
      </c>
      <c r="F12" s="12"/>
      <c r="G12" s="13" t="s">
        <v>148</v>
      </c>
      <c r="H12" s="11">
        <v>4.71</v>
      </c>
      <c r="I12" s="12">
        <v>0.5</v>
      </c>
      <c r="J12" s="15">
        <f t="shared" ref="J12:J46" si="3">SUM($H$6*H12)*I12</f>
        <v>41676.434999999998</v>
      </c>
      <c r="K12" s="128"/>
      <c r="L12" s="15">
        <f t="shared" ref="L12:L46" si="4">SUM(J12*K12)/100</f>
        <v>0</v>
      </c>
      <c r="M12" s="15">
        <f t="shared" ref="M12:M46" si="5">SUM(J12,L12)</f>
        <v>41676.434999999998</v>
      </c>
      <c r="N12" s="128"/>
      <c r="O12" s="15">
        <f t="shared" ref="O12:O46" si="6">SUM(M12*N12)/100</f>
        <v>0</v>
      </c>
      <c r="P12" s="15">
        <f t="shared" ref="P12:P46" si="7">SUM(M12,O12)</f>
        <v>41676.434999999998</v>
      </c>
      <c r="Q12" s="12"/>
      <c r="R12" s="15">
        <f>SUM($H$6*Q12/100/2)</f>
        <v>0</v>
      </c>
      <c r="S12" s="12"/>
      <c r="T12" s="15">
        <f>SUM($H$6*S12/100/2)</f>
        <v>0</v>
      </c>
      <c r="U12" s="128"/>
      <c r="V12" s="12">
        <f>SUM($H$6*3.5/100)*U12</f>
        <v>0</v>
      </c>
      <c r="W12" s="12">
        <v>2</v>
      </c>
      <c r="X12" s="12"/>
      <c r="Y12" s="16">
        <v>4167</v>
      </c>
      <c r="Z12" s="16"/>
      <c r="AA12" s="12">
        <v>2</v>
      </c>
      <c r="AB12" s="12"/>
      <c r="AC12" s="15">
        <f t="shared" ref="AC12:AC46" si="8">SUM($H$6*0.2)*AB12</f>
        <v>0</v>
      </c>
      <c r="AD12" s="12"/>
      <c r="AE12" s="15">
        <f t="shared" ref="AE12:AE46" si="9">SUM($H$6*0.3)*AD12</f>
        <v>0</v>
      </c>
      <c r="AF12" s="12"/>
      <c r="AG12" s="15">
        <f t="shared" ref="AG12:AG46" si="10">SUM($H$6*0.3)*AF12</f>
        <v>0</v>
      </c>
      <c r="AH12" s="128"/>
      <c r="AI12" s="12">
        <f t="shared" si="0"/>
        <v>0</v>
      </c>
      <c r="AJ12" s="128"/>
      <c r="AK12" s="12">
        <f t="shared" si="1"/>
        <v>0</v>
      </c>
      <c r="AL12" s="16">
        <f t="shared" si="2"/>
        <v>4167</v>
      </c>
      <c r="AM12" s="15">
        <f t="shared" ref="AM12:AM46" si="11">SUM(P12+AL12)</f>
        <v>45843.434999999998</v>
      </c>
      <c r="AN12" s="15">
        <f t="shared" ref="AN12:AN43" si="12">SUM(AM12*12)</f>
        <v>550121.22</v>
      </c>
      <c r="AO12" s="17">
        <v>0.5</v>
      </c>
      <c r="AP12" s="18">
        <f t="shared" ref="AP12:AP36" si="13">P12</f>
        <v>41676.434999999998</v>
      </c>
      <c r="AQ12" s="19">
        <f t="shared" ref="AQ12:AQ46" si="14">AN12+AP12</f>
        <v>591797.65500000003</v>
      </c>
    </row>
    <row r="13" spans="1:43" s="20" customFormat="1" ht="12.75" customHeight="1">
      <c r="A13" s="11">
        <v>3</v>
      </c>
      <c r="B13" s="11" t="s">
        <v>35</v>
      </c>
      <c r="C13" s="11" t="s">
        <v>36</v>
      </c>
      <c r="D13" s="13" t="s">
        <v>37</v>
      </c>
      <c r="E13" s="12" t="s">
        <v>140</v>
      </c>
      <c r="F13" s="11">
        <v>1</v>
      </c>
      <c r="G13" s="13" t="s">
        <v>141</v>
      </c>
      <c r="H13" s="11">
        <v>5.2</v>
      </c>
      <c r="I13" s="12">
        <v>0.25</v>
      </c>
      <c r="J13" s="15">
        <f t="shared" ref="J13" si="15">SUM($H$6*H13)*I13</f>
        <v>23006.100000000002</v>
      </c>
      <c r="K13" s="128"/>
      <c r="L13" s="15">
        <f t="shared" ref="L13" si="16">SUM(J13*K13)/100</f>
        <v>0</v>
      </c>
      <c r="M13" s="15">
        <f t="shared" si="5"/>
        <v>23006.100000000002</v>
      </c>
      <c r="N13" s="128">
        <v>25</v>
      </c>
      <c r="O13" s="15">
        <f t="shared" si="6"/>
        <v>5751.5249999999996</v>
      </c>
      <c r="P13" s="15">
        <f t="shared" si="7"/>
        <v>28757.625</v>
      </c>
      <c r="Q13" s="12">
        <v>0</v>
      </c>
      <c r="R13" s="15">
        <f>SUM($H$6*Q13*1.25%)</f>
        <v>0</v>
      </c>
      <c r="S13" s="12"/>
      <c r="T13" s="15">
        <f>SUM($H$6*S13*1.25%)</f>
        <v>0</v>
      </c>
      <c r="U13" s="128"/>
      <c r="V13" s="12">
        <f t="shared" ref="V13:V45" si="17">SUM($H$6*3.5/100)*U13</f>
        <v>0</v>
      </c>
      <c r="W13" s="12">
        <v>3</v>
      </c>
      <c r="X13" s="12"/>
      <c r="Y13" s="12">
        <v>2301</v>
      </c>
      <c r="Z13" s="12"/>
      <c r="AA13" s="12">
        <v>3</v>
      </c>
      <c r="AB13" s="12"/>
      <c r="AC13" s="15">
        <f t="shared" si="8"/>
        <v>0</v>
      </c>
      <c r="AD13" s="12"/>
      <c r="AE13" s="15">
        <f t="shared" si="9"/>
        <v>0</v>
      </c>
      <c r="AF13" s="12"/>
      <c r="AG13" s="15">
        <f t="shared" si="10"/>
        <v>0</v>
      </c>
      <c r="AH13" s="128"/>
      <c r="AI13" s="12">
        <f t="shared" si="0"/>
        <v>0</v>
      </c>
      <c r="AJ13" s="128"/>
      <c r="AK13" s="12">
        <f t="shared" si="1"/>
        <v>0</v>
      </c>
      <c r="AL13" s="16">
        <f t="shared" si="2"/>
        <v>2301</v>
      </c>
      <c r="AM13" s="15">
        <f t="shared" si="11"/>
        <v>31058.625</v>
      </c>
      <c r="AN13" s="15">
        <f>SUM(AM13*9)</f>
        <v>279527.625</v>
      </c>
      <c r="AO13" s="17">
        <v>0.25</v>
      </c>
      <c r="AP13" s="18">
        <f t="shared" si="13"/>
        <v>28757.625</v>
      </c>
      <c r="AQ13" s="19">
        <f t="shared" si="14"/>
        <v>308285.25</v>
      </c>
    </row>
    <row r="14" spans="1:43" s="20" customFormat="1" ht="12.75" customHeight="1">
      <c r="A14" s="11">
        <v>4</v>
      </c>
      <c r="B14" s="11" t="s">
        <v>35</v>
      </c>
      <c r="C14" s="11" t="s">
        <v>38</v>
      </c>
      <c r="D14" s="13" t="s">
        <v>30</v>
      </c>
      <c r="E14" s="12" t="s">
        <v>140</v>
      </c>
      <c r="F14" s="11">
        <v>1</v>
      </c>
      <c r="G14" s="13" t="s">
        <v>141</v>
      </c>
      <c r="H14" s="11">
        <v>5.2</v>
      </c>
      <c r="I14" s="12">
        <v>1</v>
      </c>
      <c r="J14" s="15">
        <f t="shared" ref="J14" si="18">SUM($H$6*H14)*I14</f>
        <v>92024.400000000009</v>
      </c>
      <c r="K14" s="128"/>
      <c r="L14" s="15">
        <f t="shared" ref="L14" si="19">SUM(J14*K14)/100</f>
        <v>0</v>
      </c>
      <c r="M14" s="15">
        <f t="shared" si="5"/>
        <v>92024.400000000009</v>
      </c>
      <c r="N14" s="128">
        <v>25</v>
      </c>
      <c r="O14" s="15">
        <f t="shared" si="6"/>
        <v>23006.1</v>
      </c>
      <c r="P14" s="15">
        <f t="shared" si="7"/>
        <v>115030.5</v>
      </c>
      <c r="Q14" s="12">
        <v>0</v>
      </c>
      <c r="R14" s="15">
        <f>SUM($H$6*Q14*1.25%)</f>
        <v>0</v>
      </c>
      <c r="S14" s="12"/>
      <c r="T14" s="15">
        <f>SUM($H$6*S14*1.25%)</f>
        <v>0</v>
      </c>
      <c r="U14" s="128"/>
      <c r="V14" s="12">
        <f t="shared" si="17"/>
        <v>0</v>
      </c>
      <c r="W14" s="12">
        <v>5</v>
      </c>
      <c r="X14" s="12"/>
      <c r="Y14" s="16">
        <v>9202</v>
      </c>
      <c r="Z14" s="16"/>
      <c r="AA14" s="12">
        <v>5</v>
      </c>
      <c r="AB14" s="12"/>
      <c r="AC14" s="15">
        <f t="shared" si="8"/>
        <v>0</v>
      </c>
      <c r="AD14" s="12"/>
      <c r="AE14" s="15">
        <f t="shared" si="9"/>
        <v>0</v>
      </c>
      <c r="AF14" s="12"/>
      <c r="AG14" s="15">
        <f t="shared" ref="AG14" si="20">SUM($H$6*0.3)*AF14</f>
        <v>0</v>
      </c>
      <c r="AH14" s="128"/>
      <c r="AI14" s="12">
        <f t="shared" si="0"/>
        <v>0</v>
      </c>
      <c r="AJ14" s="128"/>
      <c r="AK14" s="12">
        <f t="shared" si="1"/>
        <v>0</v>
      </c>
      <c r="AL14" s="16">
        <f t="shared" si="2"/>
        <v>9202</v>
      </c>
      <c r="AM14" s="15">
        <f t="shared" si="11"/>
        <v>124232.5</v>
      </c>
      <c r="AN14" s="15">
        <f>SUM(AM14*12)</f>
        <v>1490790</v>
      </c>
      <c r="AO14" s="17">
        <v>1</v>
      </c>
      <c r="AP14" s="18">
        <f t="shared" si="13"/>
        <v>115030.5</v>
      </c>
      <c r="AQ14" s="19">
        <f t="shared" si="14"/>
        <v>1605820.5</v>
      </c>
    </row>
    <row r="15" spans="1:43" s="20" customFormat="1" ht="12.75" customHeight="1">
      <c r="A15" s="11">
        <v>5</v>
      </c>
      <c r="B15" s="11" t="s">
        <v>39</v>
      </c>
      <c r="C15" s="11" t="s">
        <v>40</v>
      </c>
      <c r="D15" s="11" t="s">
        <v>30</v>
      </c>
      <c r="E15" s="12" t="s">
        <v>41</v>
      </c>
      <c r="F15" s="11">
        <v>1</v>
      </c>
      <c r="G15" s="13" t="s">
        <v>134</v>
      </c>
      <c r="H15" s="11">
        <v>4.51</v>
      </c>
      <c r="I15" s="12">
        <v>0.75</v>
      </c>
      <c r="J15" s="15">
        <f t="shared" si="3"/>
        <v>59860.102500000001</v>
      </c>
      <c r="K15" s="128"/>
      <c r="L15" s="15">
        <f t="shared" si="4"/>
        <v>0</v>
      </c>
      <c r="M15" s="15">
        <f t="shared" si="5"/>
        <v>59860.102500000001</v>
      </c>
      <c r="N15" s="128">
        <v>25</v>
      </c>
      <c r="O15" s="15">
        <f t="shared" si="6"/>
        <v>14965.025625</v>
      </c>
      <c r="P15" s="15">
        <f t="shared" si="7"/>
        <v>74825.128125000003</v>
      </c>
      <c r="Q15" s="12">
        <v>0</v>
      </c>
      <c r="R15" s="15">
        <f>SUM($H$6*Q15*1.25%)</f>
        <v>0</v>
      </c>
      <c r="S15" s="12"/>
      <c r="T15" s="15">
        <f>SUM($H$6*S15/100)</f>
        <v>0</v>
      </c>
      <c r="U15" s="128"/>
      <c r="V15" s="12">
        <f t="shared" si="17"/>
        <v>0</v>
      </c>
      <c r="W15" s="12">
        <v>6</v>
      </c>
      <c r="X15" s="12"/>
      <c r="Y15" s="16">
        <v>5986</v>
      </c>
      <c r="Z15" s="16"/>
      <c r="AA15" s="12">
        <v>6</v>
      </c>
      <c r="AB15" s="12"/>
      <c r="AC15" s="15">
        <f t="shared" si="8"/>
        <v>0</v>
      </c>
      <c r="AD15" s="12"/>
      <c r="AE15" s="15">
        <f t="shared" si="9"/>
        <v>0</v>
      </c>
      <c r="AF15" s="12"/>
      <c r="AG15" s="15">
        <f t="shared" si="10"/>
        <v>0</v>
      </c>
      <c r="AH15" s="128"/>
      <c r="AI15" s="12">
        <f t="shared" si="0"/>
        <v>0</v>
      </c>
      <c r="AJ15" s="128"/>
      <c r="AK15" s="12">
        <f t="shared" si="1"/>
        <v>0</v>
      </c>
      <c r="AL15" s="16">
        <f t="shared" si="2"/>
        <v>5986</v>
      </c>
      <c r="AM15" s="15">
        <f t="shared" si="11"/>
        <v>80811.128125000003</v>
      </c>
      <c r="AN15" s="15">
        <f t="shared" si="12"/>
        <v>969733.53750000009</v>
      </c>
      <c r="AO15" s="17">
        <v>0.75</v>
      </c>
      <c r="AP15" s="18">
        <f t="shared" si="13"/>
        <v>74825.128125000003</v>
      </c>
      <c r="AQ15" s="19">
        <f t="shared" si="14"/>
        <v>1044558.6656250001</v>
      </c>
    </row>
    <row r="16" spans="1:43" s="20" customFormat="1" ht="12.75" customHeight="1">
      <c r="A16" s="11">
        <v>6</v>
      </c>
      <c r="B16" s="11" t="s">
        <v>42</v>
      </c>
      <c r="C16" s="11" t="s">
        <v>40</v>
      </c>
      <c r="D16" s="11" t="s">
        <v>30</v>
      </c>
      <c r="E16" s="12" t="s">
        <v>41</v>
      </c>
      <c r="F16" s="11">
        <v>1</v>
      </c>
      <c r="G16" s="13" t="s">
        <v>134</v>
      </c>
      <c r="H16" s="11">
        <v>4.51</v>
      </c>
      <c r="I16" s="12">
        <v>0.5</v>
      </c>
      <c r="J16" s="15">
        <f t="shared" si="3"/>
        <v>39906.735000000001</v>
      </c>
      <c r="K16" s="128"/>
      <c r="L16" s="15">
        <f t="shared" si="4"/>
        <v>0</v>
      </c>
      <c r="M16" s="15">
        <f t="shared" si="5"/>
        <v>39906.735000000001</v>
      </c>
      <c r="N16" s="128">
        <v>25</v>
      </c>
      <c r="O16" s="15">
        <f t="shared" si="6"/>
        <v>9976.6837500000001</v>
      </c>
      <c r="P16" s="15">
        <f t="shared" si="7"/>
        <v>49883.418749999997</v>
      </c>
      <c r="Q16" s="12">
        <v>0</v>
      </c>
      <c r="R16" s="15">
        <f>SUM($H$6*Q16*1.25%)</f>
        <v>0</v>
      </c>
      <c r="S16" s="12"/>
      <c r="T16" s="15">
        <f>SUM($H$6*S16/100)</f>
        <v>0</v>
      </c>
      <c r="U16" s="128"/>
      <c r="V16" s="12">
        <f t="shared" si="17"/>
        <v>0</v>
      </c>
      <c r="W16" s="12">
        <v>7</v>
      </c>
      <c r="X16" s="12"/>
      <c r="Y16" s="16">
        <v>3991</v>
      </c>
      <c r="Z16" s="16"/>
      <c r="AA16" s="12">
        <v>7</v>
      </c>
      <c r="AB16" s="12"/>
      <c r="AC16" s="15">
        <f t="shared" si="8"/>
        <v>0</v>
      </c>
      <c r="AD16" s="12"/>
      <c r="AE16" s="15">
        <f t="shared" si="9"/>
        <v>0</v>
      </c>
      <c r="AF16" s="12"/>
      <c r="AG16" s="15">
        <f t="shared" si="10"/>
        <v>0</v>
      </c>
      <c r="AH16" s="128"/>
      <c r="AI16" s="12">
        <f t="shared" si="0"/>
        <v>0</v>
      </c>
      <c r="AJ16" s="128"/>
      <c r="AK16" s="12">
        <f t="shared" si="1"/>
        <v>0</v>
      </c>
      <c r="AL16" s="15">
        <f t="shared" si="2"/>
        <v>3991</v>
      </c>
      <c r="AM16" s="15">
        <f t="shared" si="11"/>
        <v>53874.418749999997</v>
      </c>
      <c r="AN16" s="15">
        <f t="shared" ref="AN16" si="21">SUM(AM16*12)</f>
        <v>646493.02499999991</v>
      </c>
      <c r="AO16" s="17">
        <v>0.5</v>
      </c>
      <c r="AP16" s="18">
        <f t="shared" si="13"/>
        <v>49883.418749999997</v>
      </c>
      <c r="AQ16" s="19">
        <f t="shared" si="14"/>
        <v>696376.44374999986</v>
      </c>
    </row>
    <row r="17" spans="1:43" s="20" customFormat="1" ht="13.15" customHeight="1">
      <c r="A17" s="11">
        <v>7</v>
      </c>
      <c r="B17" s="11" t="s">
        <v>42</v>
      </c>
      <c r="C17" s="21" t="s">
        <v>43</v>
      </c>
      <c r="D17" s="21" t="s">
        <v>30</v>
      </c>
      <c r="E17" s="22" t="s">
        <v>41</v>
      </c>
      <c r="F17" s="21">
        <v>1</v>
      </c>
      <c r="G17" s="21" t="s">
        <v>145</v>
      </c>
      <c r="H17" s="23">
        <v>4.4400000000000004</v>
      </c>
      <c r="I17" s="22">
        <v>0.5</v>
      </c>
      <c r="J17" s="24">
        <f t="shared" si="3"/>
        <v>39287.340000000004</v>
      </c>
      <c r="K17" s="25"/>
      <c r="L17" s="24">
        <f t="shared" si="4"/>
        <v>0</v>
      </c>
      <c r="M17" s="24">
        <f t="shared" si="5"/>
        <v>39287.340000000004</v>
      </c>
      <c r="N17" s="25">
        <v>25</v>
      </c>
      <c r="O17" s="24">
        <f t="shared" si="6"/>
        <v>9821.8350000000009</v>
      </c>
      <c r="P17" s="24">
        <f t="shared" si="7"/>
        <v>49109.175000000003</v>
      </c>
      <c r="Q17" s="12">
        <v>0</v>
      </c>
      <c r="R17" s="22">
        <f>SUM($H$6*Q17/100/2)</f>
        <v>0</v>
      </c>
      <c r="S17" s="22"/>
      <c r="T17" s="22">
        <f>SUM($H$6*S17/100/2)</f>
        <v>0</v>
      </c>
      <c r="U17" s="25"/>
      <c r="V17" s="22">
        <f t="shared" ref="V17" si="22">SUM($H$6*3.5/100)*U17</f>
        <v>0</v>
      </c>
      <c r="W17" s="12">
        <v>8</v>
      </c>
      <c r="X17" s="22"/>
      <c r="Y17" s="16">
        <v>3929</v>
      </c>
      <c r="Z17" s="16"/>
      <c r="AA17" s="12">
        <v>8</v>
      </c>
      <c r="AB17" s="22"/>
      <c r="AC17" s="24">
        <f t="shared" si="8"/>
        <v>0</v>
      </c>
      <c r="AD17" s="22"/>
      <c r="AE17" s="24">
        <f t="shared" si="9"/>
        <v>0</v>
      </c>
      <c r="AF17" s="22"/>
      <c r="AG17" s="24">
        <f t="shared" si="10"/>
        <v>0</v>
      </c>
      <c r="AH17" s="25"/>
      <c r="AI17" s="22">
        <f t="shared" si="0"/>
        <v>0</v>
      </c>
      <c r="AJ17" s="25"/>
      <c r="AK17" s="22">
        <f t="shared" si="1"/>
        <v>0</v>
      </c>
      <c r="AL17" s="16">
        <f t="shared" si="2"/>
        <v>3929</v>
      </c>
      <c r="AM17" s="15">
        <f t="shared" si="11"/>
        <v>53038.175000000003</v>
      </c>
      <c r="AN17" s="24">
        <f>SUM(AM17*9)</f>
        <v>477343.57500000001</v>
      </c>
      <c r="AO17" s="26">
        <v>0.5</v>
      </c>
      <c r="AP17" s="18">
        <f t="shared" si="13"/>
        <v>49109.175000000003</v>
      </c>
      <c r="AQ17" s="19">
        <f t="shared" si="14"/>
        <v>526452.75</v>
      </c>
    </row>
    <row r="18" spans="1:43" s="20" customFormat="1" ht="14.45" customHeight="1">
      <c r="A18" s="11">
        <v>8</v>
      </c>
      <c r="B18" s="11" t="s">
        <v>44</v>
      </c>
      <c r="C18" s="11" t="s">
        <v>45</v>
      </c>
      <c r="D18" s="11" t="s">
        <v>30</v>
      </c>
      <c r="E18" s="12" t="s">
        <v>41</v>
      </c>
      <c r="F18" s="11">
        <v>1</v>
      </c>
      <c r="G18" s="13" t="s">
        <v>138</v>
      </c>
      <c r="H18" s="11">
        <v>4.51</v>
      </c>
      <c r="I18" s="12">
        <v>1</v>
      </c>
      <c r="J18" s="12">
        <f t="shared" si="3"/>
        <v>79813.47</v>
      </c>
      <c r="K18" s="128"/>
      <c r="L18" s="15">
        <f t="shared" si="4"/>
        <v>0</v>
      </c>
      <c r="M18" s="15">
        <f t="shared" si="5"/>
        <v>79813.47</v>
      </c>
      <c r="N18" s="128">
        <v>25</v>
      </c>
      <c r="O18" s="15">
        <f t="shared" si="6"/>
        <v>19953.3675</v>
      </c>
      <c r="P18" s="15">
        <f t="shared" si="7"/>
        <v>99766.837499999994</v>
      </c>
      <c r="Q18" s="12">
        <v>0</v>
      </c>
      <c r="R18" s="12">
        <f t="shared" ref="R18:R45" si="23">SUM($H$6*Q18/100)</f>
        <v>0</v>
      </c>
      <c r="S18" s="12"/>
      <c r="T18" s="12">
        <f t="shared" ref="T18:T20" si="24">SUM($H$6*S18/100)</f>
        <v>0</v>
      </c>
      <c r="U18" s="128"/>
      <c r="V18" s="12">
        <f t="shared" si="17"/>
        <v>0</v>
      </c>
      <c r="W18" s="12">
        <v>9</v>
      </c>
      <c r="X18" s="12"/>
      <c r="Y18" s="16">
        <v>7981</v>
      </c>
      <c r="Z18" s="16"/>
      <c r="AA18" s="12">
        <v>9</v>
      </c>
      <c r="AB18" s="12"/>
      <c r="AC18" s="15">
        <f t="shared" si="8"/>
        <v>0</v>
      </c>
      <c r="AD18" s="12"/>
      <c r="AE18" s="15">
        <f t="shared" si="9"/>
        <v>0</v>
      </c>
      <c r="AF18" s="12"/>
      <c r="AG18" s="15">
        <f t="shared" si="10"/>
        <v>0</v>
      </c>
      <c r="AH18" s="128"/>
      <c r="AI18" s="12">
        <f t="shared" si="0"/>
        <v>0</v>
      </c>
      <c r="AJ18" s="128"/>
      <c r="AK18" s="12">
        <f t="shared" si="1"/>
        <v>0</v>
      </c>
      <c r="AL18" s="16">
        <f t="shared" si="2"/>
        <v>7981</v>
      </c>
      <c r="AM18" s="15">
        <f t="shared" si="11"/>
        <v>107747.83749999999</v>
      </c>
      <c r="AN18" s="15">
        <f>SUM(AM18*13)</f>
        <v>1400721.8875</v>
      </c>
      <c r="AO18" s="17">
        <v>1</v>
      </c>
      <c r="AP18" s="18">
        <f t="shared" si="13"/>
        <v>99766.837499999994</v>
      </c>
      <c r="AQ18" s="19">
        <f t="shared" si="14"/>
        <v>1500488.7249999999</v>
      </c>
    </row>
    <row r="19" spans="1:43" s="20" customFormat="1" ht="12.75" customHeight="1">
      <c r="A19" s="11">
        <v>9</v>
      </c>
      <c r="B19" s="11" t="s">
        <v>46</v>
      </c>
      <c r="C19" s="11" t="s">
        <v>45</v>
      </c>
      <c r="D19" s="11" t="s">
        <v>30</v>
      </c>
      <c r="E19" s="12" t="s">
        <v>41</v>
      </c>
      <c r="F19" s="11">
        <v>1</v>
      </c>
      <c r="G19" s="13" t="s">
        <v>137</v>
      </c>
      <c r="H19" s="11">
        <v>4.51</v>
      </c>
      <c r="I19" s="12">
        <v>1</v>
      </c>
      <c r="J19" s="12">
        <f t="shared" si="3"/>
        <v>79813.47</v>
      </c>
      <c r="K19" s="128"/>
      <c r="L19" s="15">
        <f t="shared" si="4"/>
        <v>0</v>
      </c>
      <c r="M19" s="15">
        <f t="shared" si="5"/>
        <v>79813.47</v>
      </c>
      <c r="N19" s="128">
        <v>25</v>
      </c>
      <c r="O19" s="15">
        <f t="shared" si="6"/>
        <v>19953.3675</v>
      </c>
      <c r="P19" s="15">
        <f t="shared" si="7"/>
        <v>99766.837499999994</v>
      </c>
      <c r="Q19" s="12">
        <v>0</v>
      </c>
      <c r="R19" s="12">
        <f t="shared" si="23"/>
        <v>0</v>
      </c>
      <c r="S19" s="12"/>
      <c r="T19" s="12">
        <f t="shared" si="24"/>
        <v>0</v>
      </c>
      <c r="U19" s="128"/>
      <c r="V19" s="12">
        <f t="shared" si="17"/>
        <v>0</v>
      </c>
      <c r="W19" s="12">
        <v>10</v>
      </c>
      <c r="X19" s="12"/>
      <c r="Y19" s="16">
        <v>7981</v>
      </c>
      <c r="Z19" s="16"/>
      <c r="AA19" s="12">
        <v>10</v>
      </c>
      <c r="AB19" s="12"/>
      <c r="AC19" s="15">
        <f t="shared" si="8"/>
        <v>0</v>
      </c>
      <c r="AD19" s="12">
        <v>1</v>
      </c>
      <c r="AE19" s="15">
        <f>SUM($H$6*0.6)*AD19</f>
        <v>10618.199999999999</v>
      </c>
      <c r="AF19" s="12"/>
      <c r="AG19" s="15">
        <f t="shared" si="10"/>
        <v>0</v>
      </c>
      <c r="AH19" s="128"/>
      <c r="AI19" s="12">
        <f t="shared" si="0"/>
        <v>0</v>
      </c>
      <c r="AJ19" s="128"/>
      <c r="AK19" s="12">
        <f t="shared" si="1"/>
        <v>0</v>
      </c>
      <c r="AL19" s="15">
        <f t="shared" si="2"/>
        <v>18599.199999999997</v>
      </c>
      <c r="AM19" s="15">
        <f t="shared" si="11"/>
        <v>118366.03749999999</v>
      </c>
      <c r="AN19" s="15">
        <f t="shared" ref="AN19:AN25" si="25">SUM(AM19*13)</f>
        <v>1538758.4874999998</v>
      </c>
      <c r="AO19" s="17">
        <v>1</v>
      </c>
      <c r="AP19" s="18">
        <f t="shared" si="13"/>
        <v>99766.837499999994</v>
      </c>
      <c r="AQ19" s="19">
        <f t="shared" si="14"/>
        <v>1638525.3249999997</v>
      </c>
    </row>
    <row r="20" spans="1:43" s="20" customFormat="1" ht="12.75" customHeight="1">
      <c r="A20" s="11">
        <v>10</v>
      </c>
      <c r="B20" s="11" t="s">
        <v>47</v>
      </c>
      <c r="C20" s="11" t="s">
        <v>45</v>
      </c>
      <c r="D20" s="11" t="s">
        <v>30</v>
      </c>
      <c r="E20" s="12" t="s">
        <v>41</v>
      </c>
      <c r="F20" s="11">
        <v>1</v>
      </c>
      <c r="G20" s="13" t="s">
        <v>143</v>
      </c>
      <c r="H20" s="11">
        <v>4.37</v>
      </c>
      <c r="I20" s="12">
        <v>1</v>
      </c>
      <c r="J20" s="12">
        <f t="shared" si="3"/>
        <v>77335.89</v>
      </c>
      <c r="K20" s="128"/>
      <c r="L20" s="15">
        <f t="shared" si="4"/>
        <v>0</v>
      </c>
      <c r="M20" s="15">
        <f t="shared" si="5"/>
        <v>77335.89</v>
      </c>
      <c r="N20" s="128">
        <v>25</v>
      </c>
      <c r="O20" s="15">
        <f t="shared" si="6"/>
        <v>19333.9725</v>
      </c>
      <c r="P20" s="15">
        <f t="shared" si="7"/>
        <v>96669.862500000003</v>
      </c>
      <c r="Q20" s="12">
        <v>0</v>
      </c>
      <c r="R20" s="12">
        <f t="shared" si="23"/>
        <v>0</v>
      </c>
      <c r="S20" s="12"/>
      <c r="T20" s="12">
        <f t="shared" si="24"/>
        <v>0</v>
      </c>
      <c r="U20" s="128"/>
      <c r="V20" s="12">
        <f t="shared" si="17"/>
        <v>0</v>
      </c>
      <c r="W20" s="12">
        <v>11</v>
      </c>
      <c r="X20" s="12"/>
      <c r="Y20" s="16">
        <v>7734</v>
      </c>
      <c r="Z20" s="16"/>
      <c r="AA20" s="12">
        <v>11</v>
      </c>
      <c r="AB20" s="12"/>
      <c r="AC20" s="15">
        <f t="shared" si="8"/>
        <v>0</v>
      </c>
      <c r="AD20" s="12"/>
      <c r="AE20" s="15">
        <f t="shared" si="9"/>
        <v>0</v>
      </c>
      <c r="AF20" s="12"/>
      <c r="AG20" s="15">
        <f t="shared" si="10"/>
        <v>0</v>
      </c>
      <c r="AH20" s="128"/>
      <c r="AI20" s="12">
        <f t="shared" si="0"/>
        <v>0</v>
      </c>
      <c r="AJ20" s="128"/>
      <c r="AK20" s="12">
        <f t="shared" si="1"/>
        <v>0</v>
      </c>
      <c r="AL20" s="16">
        <f t="shared" si="2"/>
        <v>7734</v>
      </c>
      <c r="AM20" s="15">
        <f t="shared" si="11"/>
        <v>104403.8625</v>
      </c>
      <c r="AN20" s="15">
        <f t="shared" si="25"/>
        <v>1357250.2125000001</v>
      </c>
      <c r="AO20" s="17">
        <v>1</v>
      </c>
      <c r="AP20" s="18">
        <f t="shared" si="13"/>
        <v>96669.862500000003</v>
      </c>
      <c r="AQ20" s="19">
        <f t="shared" si="14"/>
        <v>1453920.0750000002</v>
      </c>
    </row>
    <row r="21" spans="1:43" s="20" customFormat="1" ht="15" customHeight="1">
      <c r="A21" s="11">
        <v>11</v>
      </c>
      <c r="B21" s="11" t="s">
        <v>48</v>
      </c>
      <c r="C21" s="13" t="s">
        <v>45</v>
      </c>
      <c r="D21" s="11" t="s">
        <v>30</v>
      </c>
      <c r="E21" s="12" t="s">
        <v>41</v>
      </c>
      <c r="F21" s="11">
        <v>1</v>
      </c>
      <c r="G21" s="13" t="s">
        <v>133</v>
      </c>
      <c r="H21" s="14">
        <v>4.4400000000000004</v>
      </c>
      <c r="I21" s="12">
        <v>1</v>
      </c>
      <c r="J21" s="12">
        <f t="shared" ref="J21" si="26">SUM($H$6*H21)*I21</f>
        <v>78574.680000000008</v>
      </c>
      <c r="K21" s="128"/>
      <c r="L21" s="15">
        <f t="shared" ref="L21" si="27">SUM(J21*K21)/100</f>
        <v>0</v>
      </c>
      <c r="M21" s="15">
        <f t="shared" si="5"/>
        <v>78574.680000000008</v>
      </c>
      <c r="N21" s="128">
        <v>25</v>
      </c>
      <c r="O21" s="15">
        <f t="shared" si="6"/>
        <v>19643.670000000002</v>
      </c>
      <c r="P21" s="15">
        <f t="shared" si="7"/>
        <v>98218.35</v>
      </c>
      <c r="Q21" s="12">
        <v>0</v>
      </c>
      <c r="R21" s="12">
        <f t="shared" ref="R21:R24" si="28">SUM($H$6*Q21/100)</f>
        <v>0</v>
      </c>
      <c r="S21" s="12"/>
      <c r="T21" s="12">
        <f t="shared" ref="T21:T25" si="29">SUM($H$6*S21/100)</f>
        <v>0</v>
      </c>
      <c r="U21" s="128"/>
      <c r="V21" s="12">
        <f t="shared" si="17"/>
        <v>0</v>
      </c>
      <c r="W21" s="12">
        <v>12</v>
      </c>
      <c r="X21" s="12"/>
      <c r="Y21" s="16">
        <v>7857</v>
      </c>
      <c r="Z21" s="16"/>
      <c r="AA21" s="12">
        <v>12</v>
      </c>
      <c r="AB21" s="12"/>
      <c r="AC21" s="15">
        <f t="shared" si="8"/>
        <v>0</v>
      </c>
      <c r="AD21" s="12"/>
      <c r="AE21" s="15">
        <f t="shared" si="9"/>
        <v>0</v>
      </c>
      <c r="AF21" s="12"/>
      <c r="AG21" s="15">
        <f t="shared" si="10"/>
        <v>0</v>
      </c>
      <c r="AH21" s="128"/>
      <c r="AI21" s="12">
        <f t="shared" si="0"/>
        <v>0</v>
      </c>
      <c r="AJ21" s="128"/>
      <c r="AK21" s="12">
        <f t="shared" si="1"/>
        <v>0</v>
      </c>
      <c r="AL21" s="16">
        <f t="shared" si="2"/>
        <v>7857</v>
      </c>
      <c r="AM21" s="15">
        <f t="shared" si="11"/>
        <v>106075.35</v>
      </c>
      <c r="AN21" s="15">
        <f t="shared" ref="AN21" si="30">SUM(AM21*13)</f>
        <v>1378979.55</v>
      </c>
      <c r="AO21" s="17">
        <v>1</v>
      </c>
      <c r="AP21" s="18">
        <f t="shared" si="13"/>
        <v>98218.35</v>
      </c>
      <c r="AQ21" s="19">
        <f t="shared" si="14"/>
        <v>1477197.9000000001</v>
      </c>
    </row>
    <row r="22" spans="1:43" s="20" customFormat="1" ht="12.75" customHeight="1">
      <c r="A22" s="11">
        <v>12</v>
      </c>
      <c r="B22" s="21" t="s">
        <v>49</v>
      </c>
      <c r="C22" s="21" t="s">
        <v>45</v>
      </c>
      <c r="D22" s="11" t="s">
        <v>30</v>
      </c>
      <c r="E22" s="12" t="s">
        <v>122</v>
      </c>
      <c r="F22" s="21">
        <v>2</v>
      </c>
      <c r="G22" s="21" t="s">
        <v>144</v>
      </c>
      <c r="H22" s="21">
        <v>4.07</v>
      </c>
      <c r="I22" s="22">
        <v>1</v>
      </c>
      <c r="J22" s="68">
        <f t="shared" ref="J22" si="31">SUM($H$6*H22)*I22</f>
        <v>72026.790000000008</v>
      </c>
      <c r="K22" s="25"/>
      <c r="L22" s="24">
        <f t="shared" ref="L22" si="32">SUM(J22*K22)/100</f>
        <v>0</v>
      </c>
      <c r="M22" s="24">
        <f t="shared" si="5"/>
        <v>72026.790000000008</v>
      </c>
      <c r="N22" s="25">
        <v>25</v>
      </c>
      <c r="O22" s="24">
        <f t="shared" si="6"/>
        <v>18006.697500000002</v>
      </c>
      <c r="P22" s="24">
        <f t="shared" si="7"/>
        <v>90033.487500000017</v>
      </c>
      <c r="Q22" s="12">
        <v>0</v>
      </c>
      <c r="R22" s="22">
        <f t="shared" si="28"/>
        <v>0</v>
      </c>
      <c r="S22" s="22"/>
      <c r="T22" s="22">
        <f t="shared" si="29"/>
        <v>0</v>
      </c>
      <c r="U22" s="25"/>
      <c r="V22" s="22">
        <f t="shared" ref="V22:V24" si="33">SUM($H$6*3.5/100)*U22</f>
        <v>0</v>
      </c>
      <c r="W22" s="12">
        <v>13</v>
      </c>
      <c r="X22" s="22"/>
      <c r="Y22" s="16">
        <v>7203</v>
      </c>
      <c r="Z22" s="16"/>
      <c r="AA22" s="12">
        <v>13</v>
      </c>
      <c r="AB22" s="22"/>
      <c r="AC22" s="24">
        <f t="shared" si="8"/>
        <v>0</v>
      </c>
      <c r="AD22" s="22"/>
      <c r="AE22" s="24">
        <f t="shared" si="9"/>
        <v>0</v>
      </c>
      <c r="AF22" s="22"/>
      <c r="AG22" s="24">
        <f t="shared" si="10"/>
        <v>0</v>
      </c>
      <c r="AH22" s="25"/>
      <c r="AI22" s="22">
        <f t="shared" si="0"/>
        <v>0</v>
      </c>
      <c r="AJ22" s="25"/>
      <c r="AK22" s="22">
        <f t="shared" si="1"/>
        <v>0</v>
      </c>
      <c r="AL22" s="16">
        <f t="shared" si="2"/>
        <v>7203</v>
      </c>
      <c r="AM22" s="15">
        <f t="shared" si="11"/>
        <v>97236.487500000017</v>
      </c>
      <c r="AN22" s="24">
        <f>SUM(AM22*13)</f>
        <v>1264074.3375000001</v>
      </c>
      <c r="AO22" s="26">
        <v>1</v>
      </c>
      <c r="AP22" s="18">
        <f t="shared" si="13"/>
        <v>90033.487500000017</v>
      </c>
      <c r="AQ22" s="19">
        <f t="shared" si="14"/>
        <v>1354107.8250000002</v>
      </c>
    </row>
    <row r="23" spans="1:43" s="20" customFormat="1" ht="12.75" customHeight="1">
      <c r="A23" s="11">
        <v>13</v>
      </c>
      <c r="B23" s="11" t="s">
        <v>50</v>
      </c>
      <c r="C23" s="11" t="s">
        <v>45</v>
      </c>
      <c r="D23" s="11" t="s">
        <v>37</v>
      </c>
      <c r="E23" s="12" t="s">
        <v>51</v>
      </c>
      <c r="F23" s="11">
        <v>1</v>
      </c>
      <c r="G23" s="13" t="s">
        <v>135</v>
      </c>
      <c r="H23" s="11">
        <v>4.3899999999999997</v>
      </c>
      <c r="I23" s="27">
        <v>1</v>
      </c>
      <c r="J23" s="10">
        <f t="shared" ref="J23" si="34">SUM($H$6*H23)*I23</f>
        <v>77689.829999999987</v>
      </c>
      <c r="K23" s="125"/>
      <c r="L23" s="15">
        <f t="shared" ref="L23:L24" si="35">SUM(J23*K23)/100</f>
        <v>0</v>
      </c>
      <c r="M23" s="15">
        <f t="shared" si="5"/>
        <v>77689.829999999987</v>
      </c>
      <c r="N23" s="125">
        <v>25</v>
      </c>
      <c r="O23" s="15">
        <f t="shared" si="6"/>
        <v>19422.457499999997</v>
      </c>
      <c r="P23" s="15">
        <f t="shared" si="7"/>
        <v>97112.287499999977</v>
      </c>
      <c r="Q23" s="12">
        <v>0</v>
      </c>
      <c r="R23" s="12">
        <f t="shared" si="28"/>
        <v>0</v>
      </c>
      <c r="S23" s="12"/>
      <c r="T23" s="12">
        <f t="shared" si="29"/>
        <v>0</v>
      </c>
      <c r="U23" s="128"/>
      <c r="V23" s="12">
        <f t="shared" si="33"/>
        <v>0</v>
      </c>
      <c r="W23" s="12">
        <v>14</v>
      </c>
      <c r="X23" s="12"/>
      <c r="Y23" s="16">
        <v>7769</v>
      </c>
      <c r="Z23" s="16"/>
      <c r="AA23" s="12">
        <v>14</v>
      </c>
      <c r="AB23" s="12"/>
      <c r="AC23" s="15">
        <f t="shared" si="8"/>
        <v>0</v>
      </c>
      <c r="AD23" s="12"/>
      <c r="AE23" s="15">
        <f t="shared" si="9"/>
        <v>0</v>
      </c>
      <c r="AF23" s="12"/>
      <c r="AG23" s="15">
        <f t="shared" si="10"/>
        <v>0</v>
      </c>
      <c r="AH23" s="128"/>
      <c r="AI23" s="12">
        <f t="shared" si="0"/>
        <v>0</v>
      </c>
      <c r="AJ23" s="128"/>
      <c r="AK23" s="12">
        <f t="shared" si="1"/>
        <v>0</v>
      </c>
      <c r="AL23" s="16">
        <f t="shared" si="2"/>
        <v>7769</v>
      </c>
      <c r="AM23" s="15">
        <f t="shared" si="11"/>
        <v>104881.28749999998</v>
      </c>
      <c r="AN23" s="15">
        <f t="shared" si="25"/>
        <v>1363456.7374999998</v>
      </c>
      <c r="AO23" s="17">
        <v>1</v>
      </c>
      <c r="AP23" s="18">
        <f t="shared" si="13"/>
        <v>97112.287499999977</v>
      </c>
      <c r="AQ23" s="19">
        <f t="shared" si="14"/>
        <v>1460569.0249999999</v>
      </c>
    </row>
    <row r="24" spans="1:43" s="20" customFormat="1" ht="12.75" customHeight="1">
      <c r="A24" s="11">
        <v>14</v>
      </c>
      <c r="B24" s="21" t="s">
        <v>52</v>
      </c>
      <c r="C24" s="21" t="s">
        <v>45</v>
      </c>
      <c r="D24" s="21" t="s">
        <v>37</v>
      </c>
      <c r="E24" s="22" t="s">
        <v>51</v>
      </c>
      <c r="F24" s="21">
        <v>1</v>
      </c>
      <c r="G24" s="21" t="s">
        <v>142</v>
      </c>
      <c r="H24" s="21">
        <v>4.32</v>
      </c>
      <c r="I24" s="22">
        <v>1</v>
      </c>
      <c r="J24" s="28">
        <f t="shared" ref="J24" si="36">SUM($H$6*H24)*I24</f>
        <v>76451.040000000008</v>
      </c>
      <c r="K24" s="25"/>
      <c r="L24" s="24">
        <f t="shared" si="35"/>
        <v>0</v>
      </c>
      <c r="M24" s="24">
        <f t="shared" si="5"/>
        <v>76451.040000000008</v>
      </c>
      <c r="N24" s="25">
        <v>25</v>
      </c>
      <c r="O24" s="24">
        <f t="shared" si="6"/>
        <v>19112.760000000002</v>
      </c>
      <c r="P24" s="24">
        <f t="shared" si="7"/>
        <v>95563.800000000017</v>
      </c>
      <c r="Q24" s="12">
        <v>0</v>
      </c>
      <c r="R24" s="22">
        <f t="shared" si="28"/>
        <v>0</v>
      </c>
      <c r="S24" s="22"/>
      <c r="T24" s="22">
        <f t="shared" si="29"/>
        <v>0</v>
      </c>
      <c r="U24" s="25"/>
      <c r="V24" s="22">
        <f t="shared" si="33"/>
        <v>0</v>
      </c>
      <c r="W24" s="12">
        <v>15</v>
      </c>
      <c r="X24" s="22"/>
      <c r="Y24" s="16">
        <v>7645</v>
      </c>
      <c r="Z24" s="16"/>
      <c r="AA24" s="12">
        <v>15</v>
      </c>
      <c r="AB24" s="22"/>
      <c r="AC24" s="24">
        <f t="shared" si="8"/>
        <v>0</v>
      </c>
      <c r="AD24" s="22"/>
      <c r="AE24" s="24">
        <f t="shared" si="9"/>
        <v>0</v>
      </c>
      <c r="AF24" s="22"/>
      <c r="AG24" s="24">
        <f t="shared" si="10"/>
        <v>0</v>
      </c>
      <c r="AH24" s="25"/>
      <c r="AI24" s="22">
        <f t="shared" si="0"/>
        <v>0</v>
      </c>
      <c r="AJ24" s="25"/>
      <c r="AK24" s="22">
        <f t="shared" si="1"/>
        <v>0</v>
      </c>
      <c r="AL24" s="16">
        <f t="shared" si="2"/>
        <v>7645</v>
      </c>
      <c r="AM24" s="15">
        <f t="shared" si="11"/>
        <v>103208.80000000002</v>
      </c>
      <c r="AN24" s="24">
        <f>SUM(AM24*13)</f>
        <v>1341714.4000000001</v>
      </c>
      <c r="AO24" s="26">
        <v>1</v>
      </c>
      <c r="AP24" s="18">
        <f t="shared" si="13"/>
        <v>95563.800000000017</v>
      </c>
      <c r="AQ24" s="19">
        <f t="shared" si="14"/>
        <v>1437278.2000000002</v>
      </c>
    </row>
    <row r="25" spans="1:43" s="35" customFormat="1" ht="12.75" customHeight="1">
      <c r="A25" s="11">
        <v>15</v>
      </c>
      <c r="B25" s="29" t="s">
        <v>53</v>
      </c>
      <c r="C25" s="29" t="s">
        <v>45</v>
      </c>
      <c r="D25" s="29" t="s">
        <v>37</v>
      </c>
      <c r="E25" s="10" t="s">
        <v>54</v>
      </c>
      <c r="F25" s="29">
        <v>1</v>
      </c>
      <c r="G25" s="30" t="s">
        <v>136</v>
      </c>
      <c r="H25" s="29">
        <v>4.3899999999999997</v>
      </c>
      <c r="I25" s="10">
        <v>1</v>
      </c>
      <c r="J25" s="10">
        <f t="shared" si="3"/>
        <v>77689.829999999987</v>
      </c>
      <c r="K25" s="128"/>
      <c r="L25" s="31">
        <f t="shared" si="4"/>
        <v>0</v>
      </c>
      <c r="M25" s="31">
        <f t="shared" si="5"/>
        <v>77689.829999999987</v>
      </c>
      <c r="N25" s="128">
        <v>25</v>
      </c>
      <c r="O25" s="31">
        <f t="shared" si="6"/>
        <v>19422.457499999997</v>
      </c>
      <c r="P25" s="31">
        <f t="shared" si="7"/>
        <v>97112.287499999977</v>
      </c>
      <c r="Q25" s="10">
        <v>0</v>
      </c>
      <c r="R25" s="10">
        <f t="shared" si="23"/>
        <v>0</v>
      </c>
      <c r="S25" s="10"/>
      <c r="T25" s="10">
        <f t="shared" si="29"/>
        <v>0</v>
      </c>
      <c r="U25" s="128"/>
      <c r="V25" s="10">
        <f t="shared" si="17"/>
        <v>0</v>
      </c>
      <c r="W25" s="12">
        <v>16</v>
      </c>
      <c r="X25" s="10"/>
      <c r="Y25" s="32">
        <v>7769</v>
      </c>
      <c r="Z25" s="32"/>
      <c r="AA25" s="12">
        <v>16</v>
      </c>
      <c r="AB25" s="10"/>
      <c r="AC25" s="31">
        <f t="shared" si="8"/>
        <v>0</v>
      </c>
      <c r="AD25" s="10"/>
      <c r="AE25" s="31">
        <f>SUM($H$6*0.6)*AD25</f>
        <v>0</v>
      </c>
      <c r="AF25" s="10"/>
      <c r="AG25" s="31">
        <f t="shared" si="10"/>
        <v>0</v>
      </c>
      <c r="AH25" s="128"/>
      <c r="AI25" s="10">
        <f t="shared" si="0"/>
        <v>0</v>
      </c>
      <c r="AJ25" s="128"/>
      <c r="AK25" s="10">
        <f t="shared" si="1"/>
        <v>0</v>
      </c>
      <c r="AL25" s="31">
        <f t="shared" si="2"/>
        <v>7769</v>
      </c>
      <c r="AM25" s="15">
        <f t="shared" si="11"/>
        <v>104881.28749999998</v>
      </c>
      <c r="AN25" s="31">
        <f t="shared" si="25"/>
        <v>1363456.7374999998</v>
      </c>
      <c r="AO25" s="33">
        <v>1</v>
      </c>
      <c r="AP25" s="18">
        <f t="shared" si="13"/>
        <v>97112.287499999977</v>
      </c>
      <c r="AQ25" s="34">
        <f t="shared" si="14"/>
        <v>1460569.0249999999</v>
      </c>
    </row>
    <row r="26" spans="1:43" s="20" customFormat="1" ht="12.75" customHeight="1">
      <c r="A26" s="11">
        <v>16</v>
      </c>
      <c r="B26" s="11" t="s">
        <v>55</v>
      </c>
      <c r="C26" s="11" t="s">
        <v>45</v>
      </c>
      <c r="D26" s="13" t="s">
        <v>37</v>
      </c>
      <c r="E26" s="12" t="s">
        <v>51</v>
      </c>
      <c r="F26" s="11">
        <v>1</v>
      </c>
      <c r="G26" s="13" t="s">
        <v>146</v>
      </c>
      <c r="H26" s="14">
        <v>4.32</v>
      </c>
      <c r="I26" s="12">
        <v>1</v>
      </c>
      <c r="J26" s="15">
        <f t="shared" ref="J26" si="37">SUM($H$6*H26)*I26</f>
        <v>76451.040000000008</v>
      </c>
      <c r="K26" s="128"/>
      <c r="L26" s="15">
        <f t="shared" si="4"/>
        <v>0</v>
      </c>
      <c r="M26" s="15">
        <f t="shared" si="5"/>
        <v>76451.040000000008</v>
      </c>
      <c r="N26" s="128">
        <v>25</v>
      </c>
      <c r="O26" s="15">
        <f t="shared" si="6"/>
        <v>19112.760000000002</v>
      </c>
      <c r="P26" s="15">
        <f t="shared" si="7"/>
        <v>95563.800000000017</v>
      </c>
      <c r="Q26" s="12">
        <v>0</v>
      </c>
      <c r="R26" s="12">
        <f>SUM($H$6*Q26/100)</f>
        <v>0</v>
      </c>
      <c r="S26" s="12"/>
      <c r="T26" s="12">
        <f>SUM($H$6*S26/100/2)</f>
        <v>0</v>
      </c>
      <c r="U26" s="128"/>
      <c r="V26" s="12">
        <f t="shared" ref="V26" si="38">SUM($H$6*3.5/100)*U26</f>
        <v>0</v>
      </c>
      <c r="W26" s="12">
        <v>17</v>
      </c>
      <c r="X26" s="12"/>
      <c r="Y26" s="16">
        <v>7645</v>
      </c>
      <c r="Z26" s="16"/>
      <c r="AA26" s="12">
        <v>17</v>
      </c>
      <c r="AB26" s="12"/>
      <c r="AC26" s="15">
        <f t="shared" si="8"/>
        <v>0</v>
      </c>
      <c r="AD26" s="12"/>
      <c r="AE26" s="15">
        <f t="shared" ref="AE26" si="39">SUM($H$6*0.3)*AD26</f>
        <v>0</v>
      </c>
      <c r="AF26" s="12"/>
      <c r="AG26" s="15">
        <f t="shared" si="10"/>
        <v>0</v>
      </c>
      <c r="AH26" s="128"/>
      <c r="AI26" s="12">
        <f t="shared" si="0"/>
        <v>0</v>
      </c>
      <c r="AJ26" s="128"/>
      <c r="AK26" s="12">
        <f t="shared" si="1"/>
        <v>0</v>
      </c>
      <c r="AL26" s="16">
        <f t="shared" si="2"/>
        <v>7645</v>
      </c>
      <c r="AM26" s="15">
        <f t="shared" si="11"/>
        <v>103208.80000000002</v>
      </c>
      <c r="AN26" s="15">
        <f t="shared" ref="AN26" si="40">SUM(AM26*12)</f>
        <v>1238505.6000000001</v>
      </c>
      <c r="AO26" s="17">
        <v>1</v>
      </c>
      <c r="AP26" s="18">
        <f t="shared" si="13"/>
        <v>95563.800000000017</v>
      </c>
      <c r="AQ26" s="19">
        <f t="shared" si="14"/>
        <v>1334069.4000000001</v>
      </c>
    </row>
    <row r="27" spans="1:43" s="20" customFormat="1" ht="12.75" customHeight="1">
      <c r="A27" s="11">
        <v>17</v>
      </c>
      <c r="B27" s="11" t="s">
        <v>56</v>
      </c>
      <c r="C27" s="11" t="s">
        <v>45</v>
      </c>
      <c r="D27" s="13" t="s">
        <v>37</v>
      </c>
      <c r="E27" s="12" t="s">
        <v>57</v>
      </c>
      <c r="F27" s="11">
        <v>2</v>
      </c>
      <c r="G27" s="13" t="s">
        <v>139</v>
      </c>
      <c r="H27" s="11">
        <v>3.97</v>
      </c>
      <c r="I27" s="12">
        <v>1</v>
      </c>
      <c r="J27" s="12">
        <f t="shared" ref="J27" si="41">SUM($H$6*H27)*I27</f>
        <v>70257.09</v>
      </c>
      <c r="K27" s="128"/>
      <c r="L27" s="15">
        <f t="shared" ref="L27" si="42">SUM(J27*K27)/100</f>
        <v>0</v>
      </c>
      <c r="M27" s="15">
        <f t="shared" si="5"/>
        <v>70257.09</v>
      </c>
      <c r="N27" s="128">
        <v>25</v>
      </c>
      <c r="O27" s="15">
        <f t="shared" si="6"/>
        <v>17564.272499999999</v>
      </c>
      <c r="P27" s="15">
        <f t="shared" si="7"/>
        <v>87821.362499999988</v>
      </c>
      <c r="Q27" s="12">
        <v>0</v>
      </c>
      <c r="R27" s="12">
        <f t="shared" ref="R27" si="43">SUM($H$6*Q27/100)</f>
        <v>0</v>
      </c>
      <c r="S27" s="12"/>
      <c r="T27" s="12">
        <f t="shared" ref="T27" si="44">SUM($H$6*S27/100)</f>
        <v>0</v>
      </c>
      <c r="U27" s="128"/>
      <c r="V27" s="12">
        <f t="shared" ref="V27" si="45">SUM($H$6*3.5/100)*U27</f>
        <v>0</v>
      </c>
      <c r="W27" s="12">
        <v>18</v>
      </c>
      <c r="X27" s="12"/>
      <c r="Y27" s="16">
        <v>7026</v>
      </c>
      <c r="Z27" s="16"/>
      <c r="AA27" s="12">
        <v>18</v>
      </c>
      <c r="AB27" s="12"/>
      <c r="AC27" s="15">
        <f t="shared" si="8"/>
        <v>0</v>
      </c>
      <c r="AD27" s="12">
        <v>1</v>
      </c>
      <c r="AE27" s="15">
        <f>SUM($H$6*0.6)*AD27</f>
        <v>10618.199999999999</v>
      </c>
      <c r="AF27" s="12"/>
      <c r="AG27" s="15">
        <f t="shared" si="10"/>
        <v>0</v>
      </c>
      <c r="AH27" s="128"/>
      <c r="AI27" s="12">
        <f t="shared" si="0"/>
        <v>0</v>
      </c>
      <c r="AJ27" s="128"/>
      <c r="AK27" s="12">
        <f t="shared" si="1"/>
        <v>0</v>
      </c>
      <c r="AL27" s="16">
        <f t="shared" si="2"/>
        <v>17644.199999999997</v>
      </c>
      <c r="AM27" s="15">
        <f t="shared" si="11"/>
        <v>105465.56249999999</v>
      </c>
      <c r="AN27" s="15">
        <f t="shared" ref="AN27" si="46">SUM(AM27*13)</f>
        <v>1371052.3124999998</v>
      </c>
      <c r="AO27" s="17">
        <v>1</v>
      </c>
      <c r="AP27" s="18">
        <f t="shared" si="13"/>
        <v>87821.362499999988</v>
      </c>
      <c r="AQ27" s="19">
        <f t="shared" si="14"/>
        <v>1458873.6749999998</v>
      </c>
    </row>
    <row r="28" spans="1:43" s="20" customFormat="1" ht="12.75" customHeight="1">
      <c r="A28" s="11">
        <v>18</v>
      </c>
      <c r="B28" s="11" t="s">
        <v>55</v>
      </c>
      <c r="C28" s="11" t="s">
        <v>58</v>
      </c>
      <c r="D28" s="13" t="s">
        <v>37</v>
      </c>
      <c r="E28" s="12" t="s">
        <v>59</v>
      </c>
      <c r="F28" s="11"/>
      <c r="G28" s="13" t="s">
        <v>146</v>
      </c>
      <c r="H28" s="14">
        <v>3.69</v>
      </c>
      <c r="I28" s="12">
        <v>0.5</v>
      </c>
      <c r="J28" s="15">
        <f t="shared" ref="J28" si="47">SUM($H$6*H28)*I28</f>
        <v>32650.965</v>
      </c>
      <c r="K28" s="128"/>
      <c r="L28" s="15">
        <f t="shared" si="4"/>
        <v>0</v>
      </c>
      <c r="M28" s="15">
        <f t="shared" si="5"/>
        <v>32650.965</v>
      </c>
      <c r="N28" s="128">
        <v>25</v>
      </c>
      <c r="O28" s="15">
        <f t="shared" si="6"/>
        <v>8162.74125</v>
      </c>
      <c r="P28" s="15">
        <f t="shared" si="7"/>
        <v>40813.706250000003</v>
      </c>
      <c r="Q28" s="12">
        <v>0</v>
      </c>
      <c r="R28" s="15">
        <f>SUM($H$6*Q28/100/2)</f>
        <v>0</v>
      </c>
      <c r="S28" s="12"/>
      <c r="T28" s="12">
        <f>SUM($H$6*S28/100/2)</f>
        <v>0</v>
      </c>
      <c r="U28" s="128"/>
      <c r="V28" s="12">
        <f t="shared" ref="V28" si="48">SUM($H$6*3.5/100)*U28</f>
        <v>0</v>
      </c>
      <c r="W28" s="12">
        <v>19</v>
      </c>
      <c r="X28" s="12"/>
      <c r="Y28" s="16">
        <v>3265</v>
      </c>
      <c r="Z28" s="16"/>
      <c r="AA28" s="12">
        <v>19</v>
      </c>
      <c r="AB28" s="12"/>
      <c r="AC28" s="15">
        <f t="shared" si="8"/>
        <v>0</v>
      </c>
      <c r="AD28" s="12"/>
      <c r="AE28" s="15">
        <f t="shared" si="9"/>
        <v>0</v>
      </c>
      <c r="AF28" s="12"/>
      <c r="AG28" s="15">
        <f t="shared" si="10"/>
        <v>0</v>
      </c>
      <c r="AH28" s="128"/>
      <c r="AI28" s="12">
        <f t="shared" si="0"/>
        <v>0</v>
      </c>
      <c r="AJ28" s="128"/>
      <c r="AK28" s="12">
        <f t="shared" si="1"/>
        <v>0</v>
      </c>
      <c r="AL28" s="16">
        <f t="shared" si="2"/>
        <v>3265</v>
      </c>
      <c r="AM28" s="15">
        <f t="shared" si="11"/>
        <v>44078.706250000003</v>
      </c>
      <c r="AN28" s="15">
        <f t="shared" ref="AN28" si="49">SUM(AM28*12)</f>
        <v>528944.47500000009</v>
      </c>
      <c r="AO28" s="17">
        <v>0.5</v>
      </c>
      <c r="AP28" s="18">
        <f t="shared" si="13"/>
        <v>40813.706250000003</v>
      </c>
      <c r="AQ28" s="19">
        <f t="shared" si="14"/>
        <v>569758.18125000014</v>
      </c>
    </row>
    <row r="29" spans="1:43" s="20" customFormat="1" ht="12.75" customHeight="1">
      <c r="A29" s="11">
        <v>19</v>
      </c>
      <c r="B29" s="12" t="s">
        <v>126</v>
      </c>
      <c r="C29" s="11" t="s">
        <v>60</v>
      </c>
      <c r="D29" s="11" t="s">
        <v>37</v>
      </c>
      <c r="E29" s="11" t="s">
        <v>59</v>
      </c>
      <c r="F29" s="11"/>
      <c r="G29" s="13" t="s">
        <v>147</v>
      </c>
      <c r="H29" s="11">
        <v>3.41</v>
      </c>
      <c r="I29" s="11">
        <v>0.5</v>
      </c>
      <c r="J29" s="15">
        <f t="shared" si="3"/>
        <v>30173.385000000002</v>
      </c>
      <c r="K29" s="128"/>
      <c r="L29" s="15">
        <f t="shared" si="4"/>
        <v>0</v>
      </c>
      <c r="M29" s="15">
        <f t="shared" si="5"/>
        <v>30173.385000000002</v>
      </c>
      <c r="N29" s="128">
        <v>25</v>
      </c>
      <c r="O29" s="15">
        <f t="shared" si="6"/>
        <v>7543.3462499999996</v>
      </c>
      <c r="P29" s="15">
        <f t="shared" si="7"/>
        <v>37716.731250000004</v>
      </c>
      <c r="Q29" s="12">
        <v>0</v>
      </c>
      <c r="R29" s="12">
        <f t="shared" ref="R29:R31" si="50">SUM($H$6*Q29/100)</f>
        <v>0</v>
      </c>
      <c r="S29" s="12"/>
      <c r="T29" s="12">
        <f t="shared" ref="T29:T31" si="51">SUM($H$6*S29/100)</f>
        <v>0</v>
      </c>
      <c r="U29" s="128"/>
      <c r="V29" s="12">
        <f t="shared" ref="V29:V31" si="52">SUM($H$6*3.5/100)*U29</f>
        <v>0</v>
      </c>
      <c r="W29" s="12">
        <v>20</v>
      </c>
      <c r="X29" s="12"/>
      <c r="Y29" s="16">
        <v>3017</v>
      </c>
      <c r="Z29" s="16"/>
      <c r="AA29" s="12">
        <v>20</v>
      </c>
      <c r="AB29" s="12"/>
      <c r="AC29" s="15">
        <f>SUM($H$6*0.3)*AB29</f>
        <v>0</v>
      </c>
      <c r="AD29" s="12">
        <v>0.5</v>
      </c>
      <c r="AE29" s="15">
        <f t="shared" si="9"/>
        <v>2654.5499999999997</v>
      </c>
      <c r="AF29" s="12"/>
      <c r="AG29" s="15">
        <f t="shared" si="10"/>
        <v>0</v>
      </c>
      <c r="AH29" s="128"/>
      <c r="AI29" s="12">
        <f t="shared" si="0"/>
        <v>0</v>
      </c>
      <c r="AJ29" s="128"/>
      <c r="AK29" s="12">
        <f t="shared" si="1"/>
        <v>0</v>
      </c>
      <c r="AL29" s="15">
        <f t="shared" si="2"/>
        <v>5671.5499999999993</v>
      </c>
      <c r="AM29" s="15">
        <f t="shared" si="11"/>
        <v>43388.28125</v>
      </c>
      <c r="AN29" s="15">
        <f>SUM(AM29*12)</f>
        <v>520659.375</v>
      </c>
      <c r="AO29" s="17">
        <v>1</v>
      </c>
      <c r="AP29" s="18">
        <f t="shared" si="13"/>
        <v>37716.731250000004</v>
      </c>
      <c r="AQ29" s="19">
        <f t="shared" si="14"/>
        <v>558376.10624999995</v>
      </c>
    </row>
    <row r="30" spans="1:43" s="20" customFormat="1" ht="15" customHeight="1">
      <c r="A30" s="11">
        <v>20</v>
      </c>
      <c r="B30" s="12" t="s">
        <v>42</v>
      </c>
      <c r="C30" s="11" t="s">
        <v>60</v>
      </c>
      <c r="D30" s="11" t="s">
        <v>37</v>
      </c>
      <c r="E30" s="11" t="s">
        <v>59</v>
      </c>
      <c r="F30" s="11"/>
      <c r="G30" s="13" t="s">
        <v>147</v>
      </c>
      <c r="H30" s="11">
        <v>3.41</v>
      </c>
      <c r="I30" s="11">
        <v>0.5</v>
      </c>
      <c r="J30" s="15">
        <f t="shared" ref="J30" si="53">SUM($H$6*H30)*I30</f>
        <v>30173.385000000002</v>
      </c>
      <c r="K30" s="128"/>
      <c r="L30" s="15">
        <f t="shared" ref="L30" si="54">SUM(J30*K30)/100</f>
        <v>0</v>
      </c>
      <c r="M30" s="15">
        <f t="shared" ref="M30" si="55">SUM(J30,L30)</f>
        <v>30173.385000000002</v>
      </c>
      <c r="N30" s="128">
        <v>25</v>
      </c>
      <c r="O30" s="15">
        <f t="shared" si="6"/>
        <v>7543.3462499999996</v>
      </c>
      <c r="P30" s="15">
        <f t="shared" si="7"/>
        <v>37716.731250000004</v>
      </c>
      <c r="Q30" s="12">
        <v>0</v>
      </c>
      <c r="R30" s="12">
        <f t="shared" ref="R30" si="56">SUM($H$6*Q30/100)</f>
        <v>0</v>
      </c>
      <c r="S30" s="12"/>
      <c r="T30" s="12">
        <f t="shared" ref="T30" si="57">SUM($H$6*S30/100)</f>
        <v>0</v>
      </c>
      <c r="U30" s="128"/>
      <c r="V30" s="12">
        <f t="shared" ref="V30" si="58">SUM($H$6*3.5/100)*U30</f>
        <v>0</v>
      </c>
      <c r="W30" s="12">
        <v>21</v>
      </c>
      <c r="X30" s="12"/>
      <c r="Y30" s="16">
        <v>3017</v>
      </c>
      <c r="Z30" s="16"/>
      <c r="AA30" s="12">
        <v>21</v>
      </c>
      <c r="AB30" s="12"/>
      <c r="AC30" s="15">
        <f>SUM($H$6*0.3)*AB30</f>
        <v>0</v>
      </c>
      <c r="AD30" s="12">
        <v>0.5</v>
      </c>
      <c r="AE30" s="15">
        <f t="shared" ref="AE30" si="59">SUM($H$6*0.3)*AD30</f>
        <v>2654.5499999999997</v>
      </c>
      <c r="AF30" s="12"/>
      <c r="AG30" s="15">
        <f t="shared" ref="AG30" si="60">SUM($H$6*0.3)*AF30</f>
        <v>0</v>
      </c>
      <c r="AH30" s="128"/>
      <c r="AI30" s="12">
        <f t="shared" si="0"/>
        <v>0</v>
      </c>
      <c r="AJ30" s="128"/>
      <c r="AK30" s="12">
        <f t="shared" si="1"/>
        <v>0</v>
      </c>
      <c r="AL30" s="15">
        <f t="shared" si="2"/>
        <v>5671.5499999999993</v>
      </c>
      <c r="AM30" s="15">
        <f t="shared" si="11"/>
        <v>43388.28125</v>
      </c>
      <c r="AN30" s="15">
        <f>SUM(AM30*12)</f>
        <v>520659.375</v>
      </c>
      <c r="AO30" s="17">
        <v>1</v>
      </c>
      <c r="AP30" s="18">
        <f t="shared" si="13"/>
        <v>37716.731250000004</v>
      </c>
      <c r="AQ30" s="19">
        <f t="shared" ref="AQ30" si="61">AN30+AP30</f>
        <v>558376.10624999995</v>
      </c>
    </row>
    <row r="31" spans="1:43" s="20" customFormat="1" ht="12.75" customHeight="1">
      <c r="A31" s="11">
        <v>21</v>
      </c>
      <c r="B31" s="11" t="s">
        <v>61</v>
      </c>
      <c r="C31" s="11" t="s">
        <v>62</v>
      </c>
      <c r="D31" s="11" t="s">
        <v>37</v>
      </c>
      <c r="E31" s="12" t="s">
        <v>63</v>
      </c>
      <c r="F31" s="11"/>
      <c r="G31" s="13" t="s">
        <v>149</v>
      </c>
      <c r="H31" s="11">
        <v>3.68</v>
      </c>
      <c r="I31" s="12">
        <v>1</v>
      </c>
      <c r="J31" s="12">
        <f t="shared" si="3"/>
        <v>65124.960000000006</v>
      </c>
      <c r="K31" s="128"/>
      <c r="L31" s="12">
        <f t="shared" si="4"/>
        <v>0</v>
      </c>
      <c r="M31" s="12">
        <f t="shared" si="5"/>
        <v>65124.960000000006</v>
      </c>
      <c r="N31" s="128"/>
      <c r="O31" s="12">
        <f t="shared" si="6"/>
        <v>0</v>
      </c>
      <c r="P31" s="12">
        <f t="shared" si="7"/>
        <v>65124.960000000006</v>
      </c>
      <c r="Q31" s="12">
        <v>0</v>
      </c>
      <c r="R31" s="12">
        <f t="shared" si="50"/>
        <v>0</v>
      </c>
      <c r="S31" s="12"/>
      <c r="T31" s="12">
        <f t="shared" si="51"/>
        <v>0</v>
      </c>
      <c r="U31" s="128"/>
      <c r="V31" s="12">
        <f t="shared" si="52"/>
        <v>0</v>
      </c>
      <c r="W31" s="12">
        <v>22</v>
      </c>
      <c r="X31" s="12"/>
      <c r="Y31" s="16">
        <v>6512</v>
      </c>
      <c r="Z31" s="16"/>
      <c r="AA31" s="12">
        <v>22</v>
      </c>
      <c r="AB31" s="12"/>
      <c r="AC31" s="15">
        <f t="shared" si="8"/>
        <v>0</v>
      </c>
      <c r="AD31" s="12"/>
      <c r="AE31" s="15">
        <f t="shared" si="9"/>
        <v>0</v>
      </c>
      <c r="AF31" s="12"/>
      <c r="AG31" s="15">
        <f t="shared" si="10"/>
        <v>0</v>
      </c>
      <c r="AH31" s="128"/>
      <c r="AI31" s="12">
        <f t="shared" si="0"/>
        <v>0</v>
      </c>
      <c r="AJ31" s="128"/>
      <c r="AK31" s="12">
        <f t="shared" si="1"/>
        <v>0</v>
      </c>
      <c r="AL31" s="15">
        <f t="shared" si="2"/>
        <v>6512</v>
      </c>
      <c r="AM31" s="15">
        <f t="shared" si="11"/>
        <v>71636.960000000006</v>
      </c>
      <c r="AN31" s="15">
        <f>SUM(AM31*12)</f>
        <v>859643.52</v>
      </c>
      <c r="AO31" s="17">
        <v>1</v>
      </c>
      <c r="AP31" s="18">
        <f t="shared" si="13"/>
        <v>65124.960000000006</v>
      </c>
      <c r="AQ31" s="19">
        <f t="shared" si="14"/>
        <v>924768.48</v>
      </c>
    </row>
    <row r="32" spans="1:43" s="20" customFormat="1" ht="12.75" customHeight="1">
      <c r="A32" s="11">
        <v>22</v>
      </c>
      <c r="B32" s="11" t="s">
        <v>64</v>
      </c>
      <c r="C32" s="69" t="s">
        <v>65</v>
      </c>
      <c r="D32" s="11"/>
      <c r="E32" s="12" t="s">
        <v>66</v>
      </c>
      <c r="F32" s="11"/>
      <c r="G32" s="13" t="s">
        <v>150</v>
      </c>
      <c r="H32" s="11">
        <v>3.29</v>
      </c>
      <c r="I32" s="12">
        <v>1</v>
      </c>
      <c r="J32" s="12">
        <f t="shared" si="3"/>
        <v>58223.13</v>
      </c>
      <c r="K32" s="128"/>
      <c r="L32" s="15">
        <f t="shared" si="4"/>
        <v>0</v>
      </c>
      <c r="M32" s="15">
        <f t="shared" si="5"/>
        <v>58223.13</v>
      </c>
      <c r="N32" s="128">
        <v>25</v>
      </c>
      <c r="O32" s="15">
        <f t="shared" si="6"/>
        <v>14555.782499999999</v>
      </c>
      <c r="P32" s="15">
        <f t="shared" si="7"/>
        <v>72778.912499999991</v>
      </c>
      <c r="Q32" s="12"/>
      <c r="R32" s="12">
        <f t="shared" si="23"/>
        <v>0</v>
      </c>
      <c r="S32" s="12"/>
      <c r="T32" s="12">
        <f t="shared" ref="T32:T36" si="62">SUM($H$6*S32/100)</f>
        <v>0</v>
      </c>
      <c r="U32" s="128"/>
      <c r="V32" s="12">
        <f t="shared" si="17"/>
        <v>0</v>
      </c>
      <c r="W32" s="12">
        <v>23</v>
      </c>
      <c r="X32" s="12"/>
      <c r="Y32" s="16">
        <v>5822</v>
      </c>
      <c r="Z32" s="16"/>
      <c r="AA32" s="12">
        <v>23</v>
      </c>
      <c r="AB32" s="12"/>
      <c r="AC32" s="15">
        <f t="shared" si="8"/>
        <v>0</v>
      </c>
      <c r="AD32" s="12">
        <v>1</v>
      </c>
      <c r="AE32" s="15">
        <f t="shared" si="9"/>
        <v>5309.0999999999995</v>
      </c>
      <c r="AF32" s="12"/>
      <c r="AG32" s="15">
        <f>SUM($H$6*0.34)*AF32</f>
        <v>0</v>
      </c>
      <c r="AH32" s="128"/>
      <c r="AI32" s="12">
        <f t="shared" si="0"/>
        <v>0</v>
      </c>
      <c r="AJ32" s="128"/>
      <c r="AK32" s="12">
        <f t="shared" si="1"/>
        <v>0</v>
      </c>
      <c r="AL32" s="15">
        <f t="shared" si="2"/>
        <v>11131.099999999999</v>
      </c>
      <c r="AM32" s="15">
        <f t="shared" si="11"/>
        <v>83910.012499999983</v>
      </c>
      <c r="AN32" s="15">
        <f>SUM(AM32*13)</f>
        <v>1090830.1624999999</v>
      </c>
      <c r="AO32" s="17">
        <v>1</v>
      </c>
      <c r="AP32" s="18">
        <f t="shared" si="13"/>
        <v>72778.912499999991</v>
      </c>
      <c r="AQ32" s="19">
        <f t="shared" si="14"/>
        <v>1163609.075</v>
      </c>
    </row>
    <row r="33" spans="1:43" s="20" customFormat="1" ht="12.75" customHeight="1">
      <c r="A33" s="11">
        <v>23</v>
      </c>
      <c r="B33" s="70" t="s">
        <v>125</v>
      </c>
      <c r="C33" s="69" t="s">
        <v>65</v>
      </c>
      <c r="D33" s="11"/>
      <c r="E33" s="12" t="s">
        <v>66</v>
      </c>
      <c r="F33" s="11"/>
      <c r="G33" s="13" t="s">
        <v>151</v>
      </c>
      <c r="H33" s="11">
        <v>3.08</v>
      </c>
      <c r="I33" s="12">
        <v>1</v>
      </c>
      <c r="J33" s="12">
        <f t="shared" si="3"/>
        <v>54506.76</v>
      </c>
      <c r="K33" s="128"/>
      <c r="L33" s="15">
        <f t="shared" si="4"/>
        <v>0</v>
      </c>
      <c r="M33" s="15">
        <f t="shared" si="5"/>
        <v>54506.76</v>
      </c>
      <c r="N33" s="128">
        <v>25</v>
      </c>
      <c r="O33" s="15">
        <f t="shared" si="6"/>
        <v>13626.69</v>
      </c>
      <c r="P33" s="15">
        <f t="shared" si="7"/>
        <v>68133.45</v>
      </c>
      <c r="Q33" s="12"/>
      <c r="R33" s="12">
        <f t="shared" si="23"/>
        <v>0</v>
      </c>
      <c r="S33" s="12"/>
      <c r="T33" s="12">
        <f t="shared" si="62"/>
        <v>0</v>
      </c>
      <c r="U33" s="128"/>
      <c r="V33" s="12">
        <f t="shared" si="17"/>
        <v>0</v>
      </c>
      <c r="W33" s="12">
        <v>24</v>
      </c>
      <c r="X33" s="12"/>
      <c r="Y33" s="16">
        <v>5451</v>
      </c>
      <c r="Z33" s="16"/>
      <c r="AA33" s="12">
        <v>24</v>
      </c>
      <c r="AB33" s="12"/>
      <c r="AC33" s="15">
        <f t="shared" si="8"/>
        <v>0</v>
      </c>
      <c r="AD33" s="12">
        <v>1</v>
      </c>
      <c r="AE33" s="15">
        <f t="shared" si="9"/>
        <v>5309.0999999999995</v>
      </c>
      <c r="AF33" s="12"/>
      <c r="AG33" s="15">
        <f t="shared" ref="AG33:AG38" si="63">SUM($H$6*0.34)*AF33</f>
        <v>0</v>
      </c>
      <c r="AH33" s="128"/>
      <c r="AI33" s="12">
        <f t="shared" si="0"/>
        <v>0</v>
      </c>
      <c r="AJ33" s="128"/>
      <c r="AK33" s="12">
        <f t="shared" si="1"/>
        <v>0</v>
      </c>
      <c r="AL33" s="15">
        <f t="shared" si="2"/>
        <v>10760.099999999999</v>
      </c>
      <c r="AM33" s="15">
        <f t="shared" si="11"/>
        <v>78893.549999999988</v>
      </c>
      <c r="AN33" s="15">
        <f t="shared" ref="AN33:AN37" si="64">SUM(AM33*13)</f>
        <v>1025616.1499999999</v>
      </c>
      <c r="AO33" s="17">
        <v>1</v>
      </c>
      <c r="AP33" s="18">
        <f t="shared" si="13"/>
        <v>68133.45</v>
      </c>
      <c r="AQ33" s="19">
        <f t="shared" si="14"/>
        <v>1093749.5999999999</v>
      </c>
    </row>
    <row r="34" spans="1:43" s="20" customFormat="1" ht="12.75" customHeight="1">
      <c r="A34" s="11">
        <v>24</v>
      </c>
      <c r="B34" s="70" t="s">
        <v>67</v>
      </c>
      <c r="C34" s="69" t="s">
        <v>65</v>
      </c>
      <c r="D34" s="11"/>
      <c r="E34" s="12" t="s">
        <v>66</v>
      </c>
      <c r="F34" s="11"/>
      <c r="G34" s="13" t="s">
        <v>152</v>
      </c>
      <c r="H34" s="11">
        <v>3.04</v>
      </c>
      <c r="I34" s="12">
        <v>1</v>
      </c>
      <c r="J34" s="12">
        <f t="shared" si="3"/>
        <v>53798.879999999997</v>
      </c>
      <c r="K34" s="128"/>
      <c r="L34" s="15">
        <f t="shared" si="4"/>
        <v>0</v>
      </c>
      <c r="M34" s="15">
        <f t="shared" si="5"/>
        <v>53798.879999999997</v>
      </c>
      <c r="N34" s="128">
        <v>25</v>
      </c>
      <c r="O34" s="15">
        <f t="shared" si="6"/>
        <v>13449.72</v>
      </c>
      <c r="P34" s="15">
        <f t="shared" si="7"/>
        <v>67248.599999999991</v>
      </c>
      <c r="Q34" s="12"/>
      <c r="R34" s="12">
        <f t="shared" si="23"/>
        <v>0</v>
      </c>
      <c r="S34" s="12"/>
      <c r="T34" s="12">
        <f t="shared" si="62"/>
        <v>0</v>
      </c>
      <c r="U34" s="128"/>
      <c r="V34" s="12">
        <f t="shared" si="17"/>
        <v>0</v>
      </c>
      <c r="W34" s="12">
        <v>25</v>
      </c>
      <c r="X34" s="12"/>
      <c r="Y34" s="16">
        <v>5380</v>
      </c>
      <c r="Z34" s="16"/>
      <c r="AA34" s="12">
        <v>25</v>
      </c>
      <c r="AB34" s="12"/>
      <c r="AC34" s="15">
        <f t="shared" si="8"/>
        <v>0</v>
      </c>
      <c r="AD34" s="12">
        <v>1</v>
      </c>
      <c r="AE34" s="15">
        <f t="shared" si="9"/>
        <v>5309.0999999999995</v>
      </c>
      <c r="AF34" s="12"/>
      <c r="AG34" s="15">
        <f t="shared" si="63"/>
        <v>0</v>
      </c>
      <c r="AH34" s="128"/>
      <c r="AI34" s="12">
        <f t="shared" si="0"/>
        <v>0</v>
      </c>
      <c r="AJ34" s="128"/>
      <c r="AK34" s="12">
        <f t="shared" si="1"/>
        <v>0</v>
      </c>
      <c r="AL34" s="15">
        <f t="shared" si="2"/>
        <v>10689.099999999999</v>
      </c>
      <c r="AM34" s="15">
        <f t="shared" si="11"/>
        <v>77937.699999999983</v>
      </c>
      <c r="AN34" s="15">
        <f t="shared" si="64"/>
        <v>1013190.0999999997</v>
      </c>
      <c r="AO34" s="17">
        <v>1</v>
      </c>
      <c r="AP34" s="18">
        <f t="shared" si="13"/>
        <v>67248.599999999991</v>
      </c>
      <c r="AQ34" s="19">
        <f t="shared" si="14"/>
        <v>1080438.6999999997</v>
      </c>
    </row>
    <row r="35" spans="1:43" s="20" customFormat="1" ht="15">
      <c r="A35" s="11">
        <v>25</v>
      </c>
      <c r="B35" s="13" t="s">
        <v>68</v>
      </c>
      <c r="C35" s="69" t="s">
        <v>65</v>
      </c>
      <c r="D35" s="71"/>
      <c r="E35" s="12" t="s">
        <v>66</v>
      </c>
      <c r="F35" s="11"/>
      <c r="G35" s="72" t="s">
        <v>154</v>
      </c>
      <c r="H35" s="11">
        <v>3.19</v>
      </c>
      <c r="I35" s="12">
        <v>1</v>
      </c>
      <c r="J35" s="12">
        <f t="shared" si="3"/>
        <v>56453.43</v>
      </c>
      <c r="K35" s="128"/>
      <c r="L35" s="15">
        <f t="shared" si="4"/>
        <v>0</v>
      </c>
      <c r="M35" s="15">
        <f t="shared" si="5"/>
        <v>56453.43</v>
      </c>
      <c r="N35" s="128">
        <v>25</v>
      </c>
      <c r="O35" s="15">
        <f t="shared" si="6"/>
        <v>14113.3575</v>
      </c>
      <c r="P35" s="15">
        <f t="shared" si="7"/>
        <v>70566.787500000006</v>
      </c>
      <c r="Q35" s="12"/>
      <c r="R35" s="12">
        <f t="shared" si="23"/>
        <v>0</v>
      </c>
      <c r="S35" s="12"/>
      <c r="T35" s="12">
        <f t="shared" si="62"/>
        <v>0</v>
      </c>
      <c r="U35" s="128"/>
      <c r="V35" s="12">
        <f t="shared" si="17"/>
        <v>0</v>
      </c>
      <c r="W35" s="12">
        <v>26</v>
      </c>
      <c r="X35" s="12"/>
      <c r="Y35" s="16">
        <v>5645</v>
      </c>
      <c r="Z35" s="16"/>
      <c r="AA35" s="12">
        <v>26</v>
      </c>
      <c r="AB35" s="12"/>
      <c r="AC35" s="15">
        <f t="shared" si="8"/>
        <v>0</v>
      </c>
      <c r="AD35" s="12">
        <v>1</v>
      </c>
      <c r="AE35" s="15">
        <f t="shared" si="9"/>
        <v>5309.0999999999995</v>
      </c>
      <c r="AF35" s="12"/>
      <c r="AG35" s="15">
        <f t="shared" si="63"/>
        <v>0</v>
      </c>
      <c r="AH35" s="128"/>
      <c r="AI35" s="12">
        <f t="shared" si="0"/>
        <v>0</v>
      </c>
      <c r="AJ35" s="128"/>
      <c r="AK35" s="12">
        <f t="shared" si="1"/>
        <v>0</v>
      </c>
      <c r="AL35" s="15">
        <f t="shared" si="2"/>
        <v>10954.099999999999</v>
      </c>
      <c r="AM35" s="15">
        <f t="shared" si="11"/>
        <v>81520.887500000012</v>
      </c>
      <c r="AN35" s="15">
        <f t="shared" si="64"/>
        <v>1059771.5375000001</v>
      </c>
      <c r="AO35" s="17">
        <v>1</v>
      </c>
      <c r="AP35" s="18">
        <f t="shared" si="13"/>
        <v>70566.787500000006</v>
      </c>
      <c r="AQ35" s="19">
        <f t="shared" si="14"/>
        <v>1130338.3250000002</v>
      </c>
    </row>
    <row r="36" spans="1:43" s="20" customFormat="1" ht="15">
      <c r="A36" s="11">
        <v>26</v>
      </c>
      <c r="B36" s="13" t="s">
        <v>69</v>
      </c>
      <c r="C36" s="11" t="s">
        <v>65</v>
      </c>
      <c r="D36" s="11"/>
      <c r="E36" s="12" t="s">
        <v>66</v>
      </c>
      <c r="F36" s="11"/>
      <c r="G36" s="72" t="s">
        <v>153</v>
      </c>
      <c r="H36" s="11">
        <v>3.22</v>
      </c>
      <c r="I36" s="12">
        <v>1</v>
      </c>
      <c r="J36" s="12">
        <f t="shared" si="3"/>
        <v>56984.340000000004</v>
      </c>
      <c r="K36" s="128"/>
      <c r="L36" s="15">
        <f t="shared" si="4"/>
        <v>0</v>
      </c>
      <c r="M36" s="15">
        <f t="shared" si="5"/>
        <v>56984.340000000004</v>
      </c>
      <c r="N36" s="128">
        <v>25</v>
      </c>
      <c r="O36" s="15">
        <f t="shared" si="6"/>
        <v>14246.084999999999</v>
      </c>
      <c r="P36" s="15">
        <f t="shared" si="7"/>
        <v>71230.425000000003</v>
      </c>
      <c r="Q36" s="12"/>
      <c r="R36" s="12">
        <f t="shared" si="23"/>
        <v>0</v>
      </c>
      <c r="S36" s="12"/>
      <c r="T36" s="12">
        <f t="shared" si="62"/>
        <v>0</v>
      </c>
      <c r="U36" s="128"/>
      <c r="V36" s="12">
        <f t="shared" si="17"/>
        <v>0</v>
      </c>
      <c r="W36" s="12">
        <v>27</v>
      </c>
      <c r="X36" s="12"/>
      <c r="Y36" s="16">
        <v>5698</v>
      </c>
      <c r="Z36" s="16"/>
      <c r="AA36" s="12">
        <v>27</v>
      </c>
      <c r="AB36" s="12"/>
      <c r="AC36" s="15">
        <f t="shared" si="8"/>
        <v>0</v>
      </c>
      <c r="AD36" s="12">
        <v>1</v>
      </c>
      <c r="AE36" s="15">
        <f>SUM($H$6*0.6)*AD36</f>
        <v>10618.199999999999</v>
      </c>
      <c r="AF36" s="12"/>
      <c r="AG36" s="15">
        <f t="shared" si="63"/>
        <v>0</v>
      </c>
      <c r="AH36" s="128"/>
      <c r="AI36" s="12">
        <f t="shared" si="0"/>
        <v>0</v>
      </c>
      <c r="AJ36" s="128"/>
      <c r="AK36" s="12">
        <f t="shared" si="1"/>
        <v>0</v>
      </c>
      <c r="AL36" s="15">
        <f t="shared" si="2"/>
        <v>16316.199999999999</v>
      </c>
      <c r="AM36" s="15">
        <f t="shared" si="11"/>
        <v>87546.625</v>
      </c>
      <c r="AN36" s="15">
        <f t="shared" si="64"/>
        <v>1138106.125</v>
      </c>
      <c r="AO36" s="17">
        <v>1</v>
      </c>
      <c r="AP36" s="18">
        <f t="shared" si="13"/>
        <v>71230.425000000003</v>
      </c>
      <c r="AQ36" s="19">
        <f t="shared" si="14"/>
        <v>1209336.55</v>
      </c>
    </row>
    <row r="37" spans="1:43" s="20" customFormat="1" ht="15">
      <c r="A37" s="11">
        <v>27</v>
      </c>
      <c r="B37" s="13" t="s">
        <v>88</v>
      </c>
      <c r="C37" s="69" t="s">
        <v>70</v>
      </c>
      <c r="D37" s="71"/>
      <c r="E37" s="12" t="s">
        <v>78</v>
      </c>
      <c r="F37" s="11"/>
      <c r="G37" s="13"/>
      <c r="H37" s="11">
        <v>2.81</v>
      </c>
      <c r="I37" s="12">
        <v>1</v>
      </c>
      <c r="J37" s="15">
        <f t="shared" ref="J37" si="65">SUM($H$6*H37)*I37</f>
        <v>49728.57</v>
      </c>
      <c r="K37" s="128"/>
      <c r="L37" s="15">
        <f t="shared" ref="L37" si="66">SUM(J37*K37)/100</f>
        <v>0</v>
      </c>
      <c r="M37" s="15">
        <f t="shared" si="5"/>
        <v>49728.57</v>
      </c>
      <c r="N37" s="128"/>
      <c r="O37" s="15">
        <f t="shared" si="6"/>
        <v>0</v>
      </c>
      <c r="P37" s="15">
        <f t="shared" si="7"/>
        <v>49728.57</v>
      </c>
      <c r="Q37" s="12"/>
      <c r="R37" s="12">
        <f t="shared" ref="R37" si="67">SUM($H$6*Q37/100)</f>
        <v>0</v>
      </c>
      <c r="S37" s="12"/>
      <c r="T37" s="12">
        <f t="shared" ref="T37" si="68">SUM($H$6*S37/100)</f>
        <v>0</v>
      </c>
      <c r="U37" s="128"/>
      <c r="V37" s="12">
        <f t="shared" ref="V37" si="69">SUM($H$6*3.5/100)*U37</f>
        <v>0</v>
      </c>
      <c r="W37" s="12">
        <v>28</v>
      </c>
      <c r="X37" s="15"/>
      <c r="Y37" s="16">
        <v>4973</v>
      </c>
      <c r="Z37" s="16"/>
      <c r="AA37" s="12">
        <v>28</v>
      </c>
      <c r="AB37" s="12">
        <v>1</v>
      </c>
      <c r="AC37" s="15">
        <f t="shared" si="8"/>
        <v>3539.4</v>
      </c>
      <c r="AD37" s="12">
        <v>1</v>
      </c>
      <c r="AE37" s="15">
        <f t="shared" si="9"/>
        <v>5309.0999999999995</v>
      </c>
      <c r="AF37" s="12"/>
      <c r="AG37" s="15">
        <f t="shared" si="63"/>
        <v>0</v>
      </c>
      <c r="AH37" s="128"/>
      <c r="AI37" s="12">
        <f t="shared" si="0"/>
        <v>0</v>
      </c>
      <c r="AJ37" s="128"/>
      <c r="AK37" s="12">
        <f t="shared" si="1"/>
        <v>0</v>
      </c>
      <c r="AL37" s="15">
        <f t="shared" si="2"/>
        <v>13821.5</v>
      </c>
      <c r="AM37" s="15">
        <f t="shared" si="11"/>
        <v>63550.07</v>
      </c>
      <c r="AN37" s="15">
        <f t="shared" si="64"/>
        <v>826150.91</v>
      </c>
      <c r="AO37" s="17"/>
      <c r="AP37" s="18">
        <f t="shared" ref="AP37:AP46" si="70">SUM(($H$6*H37)+(($H$6*H37*K37)/100))*AO37</f>
        <v>0</v>
      </c>
      <c r="AQ37" s="19">
        <f t="shared" si="14"/>
        <v>826150.91</v>
      </c>
    </row>
    <row r="38" spans="1:43" s="20" customFormat="1" ht="15">
      <c r="A38" s="11">
        <v>28</v>
      </c>
      <c r="B38" s="11" t="s">
        <v>71</v>
      </c>
      <c r="C38" s="11" t="s">
        <v>72</v>
      </c>
      <c r="D38" s="69"/>
      <c r="E38" s="72" t="s">
        <v>78</v>
      </c>
      <c r="F38" s="11"/>
      <c r="G38" s="11"/>
      <c r="H38" s="11">
        <v>2.81</v>
      </c>
      <c r="I38" s="12">
        <v>1</v>
      </c>
      <c r="J38" s="12">
        <f t="shared" si="3"/>
        <v>49728.57</v>
      </c>
      <c r="K38" s="128"/>
      <c r="L38" s="12">
        <f t="shared" si="4"/>
        <v>0</v>
      </c>
      <c r="M38" s="12">
        <f t="shared" si="5"/>
        <v>49728.57</v>
      </c>
      <c r="N38" s="128"/>
      <c r="O38" s="12">
        <f t="shared" si="6"/>
        <v>0</v>
      </c>
      <c r="P38" s="12">
        <f t="shared" si="7"/>
        <v>49728.57</v>
      </c>
      <c r="Q38" s="12"/>
      <c r="R38" s="12">
        <f t="shared" si="23"/>
        <v>0</v>
      </c>
      <c r="S38" s="12"/>
      <c r="T38" s="12">
        <f t="shared" ref="T38:T40" si="71">SUM($H$6*S38/100)</f>
        <v>0</v>
      </c>
      <c r="U38" s="128"/>
      <c r="V38" s="12">
        <f t="shared" si="17"/>
        <v>0</v>
      </c>
      <c r="W38" s="12">
        <v>29</v>
      </c>
      <c r="X38" s="12"/>
      <c r="Y38" s="16">
        <v>4973</v>
      </c>
      <c r="Z38" s="16"/>
      <c r="AA38" s="12">
        <v>29</v>
      </c>
      <c r="AB38" s="12"/>
      <c r="AC38" s="15">
        <f t="shared" si="8"/>
        <v>0</v>
      </c>
      <c r="AD38" s="12"/>
      <c r="AE38" s="15">
        <f t="shared" si="9"/>
        <v>0</v>
      </c>
      <c r="AF38" s="12"/>
      <c r="AG38" s="15">
        <f t="shared" si="63"/>
        <v>0</v>
      </c>
      <c r="AH38" s="128"/>
      <c r="AI38" s="12">
        <f t="shared" si="0"/>
        <v>0</v>
      </c>
      <c r="AJ38" s="128"/>
      <c r="AK38" s="12">
        <f t="shared" si="1"/>
        <v>0</v>
      </c>
      <c r="AL38" s="15">
        <f t="shared" si="2"/>
        <v>4973</v>
      </c>
      <c r="AM38" s="15">
        <f t="shared" si="11"/>
        <v>54701.57</v>
      </c>
      <c r="AN38" s="15">
        <f>SUM(AM38*13)</f>
        <v>711120.41</v>
      </c>
      <c r="AO38" s="17"/>
      <c r="AP38" s="18">
        <f t="shared" si="70"/>
        <v>0</v>
      </c>
      <c r="AQ38" s="19">
        <f t="shared" si="14"/>
        <v>711120.41</v>
      </c>
    </row>
    <row r="39" spans="1:43" s="20" customFormat="1">
      <c r="A39" s="11">
        <v>29</v>
      </c>
      <c r="B39" s="11" t="s">
        <v>155</v>
      </c>
      <c r="C39" s="69" t="s">
        <v>73</v>
      </c>
      <c r="D39" s="69"/>
      <c r="E39" s="12" t="s">
        <v>156</v>
      </c>
      <c r="F39" s="11"/>
      <c r="G39" s="11"/>
      <c r="H39" s="11">
        <v>2.89</v>
      </c>
      <c r="I39" s="12">
        <v>1</v>
      </c>
      <c r="J39" s="12">
        <f t="shared" si="3"/>
        <v>51144.33</v>
      </c>
      <c r="K39" s="128"/>
      <c r="L39" s="12">
        <f t="shared" si="4"/>
        <v>0</v>
      </c>
      <c r="M39" s="12">
        <f t="shared" si="5"/>
        <v>51144.33</v>
      </c>
      <c r="N39" s="128"/>
      <c r="O39" s="12">
        <f t="shared" si="6"/>
        <v>0</v>
      </c>
      <c r="P39" s="12">
        <f t="shared" si="7"/>
        <v>51144.33</v>
      </c>
      <c r="Q39" s="12"/>
      <c r="R39" s="12">
        <f t="shared" si="23"/>
        <v>0</v>
      </c>
      <c r="S39" s="12"/>
      <c r="T39" s="12">
        <f t="shared" si="71"/>
        <v>0</v>
      </c>
      <c r="U39" s="128"/>
      <c r="V39" s="12">
        <f t="shared" si="17"/>
        <v>0</v>
      </c>
      <c r="W39" s="12">
        <v>30</v>
      </c>
      <c r="X39" s="12"/>
      <c r="Y39" s="16">
        <v>5114</v>
      </c>
      <c r="Z39" s="16"/>
      <c r="AA39" s="12">
        <v>30</v>
      </c>
      <c r="AB39" s="12"/>
      <c r="AC39" s="15">
        <f t="shared" si="8"/>
        <v>0</v>
      </c>
      <c r="AD39" s="12">
        <v>1</v>
      </c>
      <c r="AE39" s="15">
        <f t="shared" si="9"/>
        <v>5309.0999999999995</v>
      </c>
      <c r="AF39" s="12">
        <v>0</v>
      </c>
      <c r="AG39" s="15">
        <v>0</v>
      </c>
      <c r="AH39" s="128"/>
      <c r="AI39" s="12">
        <f t="shared" si="0"/>
        <v>0</v>
      </c>
      <c r="AJ39" s="128"/>
      <c r="AK39" s="12">
        <f t="shared" si="1"/>
        <v>0</v>
      </c>
      <c r="AL39" s="15">
        <f t="shared" si="2"/>
        <v>10423.099999999999</v>
      </c>
      <c r="AM39" s="15">
        <f t="shared" si="11"/>
        <v>61567.43</v>
      </c>
      <c r="AN39" s="15">
        <f t="shared" ref="AN39:AN40" si="72">SUM(AM39*13)</f>
        <v>800376.59</v>
      </c>
      <c r="AO39" s="17">
        <v>1</v>
      </c>
      <c r="AP39" s="18">
        <f t="shared" ref="AP39:AP40" si="73">P39</f>
        <v>51144.33</v>
      </c>
      <c r="AQ39" s="19">
        <f t="shared" si="14"/>
        <v>851520.91999999993</v>
      </c>
    </row>
    <row r="40" spans="1:43" s="20" customFormat="1" ht="15">
      <c r="A40" s="11">
        <v>30</v>
      </c>
      <c r="B40" s="13" t="s">
        <v>74</v>
      </c>
      <c r="C40" s="69" t="s">
        <v>73</v>
      </c>
      <c r="D40" s="69"/>
      <c r="E40" s="72" t="s">
        <v>75</v>
      </c>
      <c r="F40" s="11"/>
      <c r="G40" s="11"/>
      <c r="H40" s="11">
        <v>2.92</v>
      </c>
      <c r="I40" s="12">
        <v>1</v>
      </c>
      <c r="J40" s="12">
        <f t="shared" si="3"/>
        <v>51675.24</v>
      </c>
      <c r="K40" s="128"/>
      <c r="L40" s="12">
        <f t="shared" si="4"/>
        <v>0</v>
      </c>
      <c r="M40" s="12">
        <f t="shared" si="5"/>
        <v>51675.24</v>
      </c>
      <c r="N40" s="128"/>
      <c r="O40" s="12">
        <f t="shared" si="6"/>
        <v>0</v>
      </c>
      <c r="P40" s="12">
        <f t="shared" si="7"/>
        <v>51675.24</v>
      </c>
      <c r="Q40" s="12"/>
      <c r="R40" s="12">
        <f t="shared" si="23"/>
        <v>0</v>
      </c>
      <c r="S40" s="12"/>
      <c r="T40" s="12">
        <f t="shared" si="71"/>
        <v>0</v>
      </c>
      <c r="U40" s="128"/>
      <c r="V40" s="12">
        <f t="shared" si="17"/>
        <v>0</v>
      </c>
      <c r="W40" s="12">
        <v>31</v>
      </c>
      <c r="X40" s="12"/>
      <c r="Y40" s="16">
        <v>5167</v>
      </c>
      <c r="Z40" s="16"/>
      <c r="AA40" s="12">
        <v>31</v>
      </c>
      <c r="AB40" s="12"/>
      <c r="AC40" s="15">
        <f t="shared" si="8"/>
        <v>0</v>
      </c>
      <c r="AD40" s="12">
        <v>1</v>
      </c>
      <c r="AE40" s="15">
        <f t="shared" si="9"/>
        <v>5309.0999999999995</v>
      </c>
      <c r="AF40" s="12">
        <v>0</v>
      </c>
      <c r="AG40" s="15">
        <v>0</v>
      </c>
      <c r="AH40" s="128"/>
      <c r="AI40" s="12">
        <f t="shared" si="0"/>
        <v>0</v>
      </c>
      <c r="AJ40" s="128"/>
      <c r="AK40" s="12">
        <f t="shared" si="1"/>
        <v>0</v>
      </c>
      <c r="AL40" s="15">
        <f t="shared" si="2"/>
        <v>10476.099999999999</v>
      </c>
      <c r="AM40" s="15">
        <f t="shared" si="11"/>
        <v>62151.34</v>
      </c>
      <c r="AN40" s="15">
        <f t="shared" si="72"/>
        <v>807967.41999999993</v>
      </c>
      <c r="AO40" s="17">
        <v>1</v>
      </c>
      <c r="AP40" s="18">
        <f t="shared" si="73"/>
        <v>51675.24</v>
      </c>
      <c r="AQ40" s="19">
        <f t="shared" si="14"/>
        <v>859642.65999999992</v>
      </c>
    </row>
    <row r="41" spans="1:43" s="20" customFormat="1">
      <c r="A41" s="11">
        <v>31</v>
      </c>
      <c r="B41" s="11" t="s">
        <v>76</v>
      </c>
      <c r="C41" s="11" t="s">
        <v>77</v>
      </c>
      <c r="D41" s="69"/>
      <c r="E41" s="12" t="s">
        <v>78</v>
      </c>
      <c r="F41" s="11"/>
      <c r="G41" s="11"/>
      <c r="H41" s="11">
        <v>2.81</v>
      </c>
      <c r="I41" s="12">
        <v>1</v>
      </c>
      <c r="J41" s="12">
        <f t="shared" ref="J41" si="74">SUM($H$6*H41)*I41</f>
        <v>49728.57</v>
      </c>
      <c r="K41" s="128"/>
      <c r="L41" s="12">
        <f t="shared" ref="L41" si="75">SUM(J41*K41)/100</f>
        <v>0</v>
      </c>
      <c r="M41" s="12">
        <f t="shared" si="5"/>
        <v>49728.57</v>
      </c>
      <c r="N41" s="128"/>
      <c r="O41" s="12">
        <f t="shared" si="6"/>
        <v>0</v>
      </c>
      <c r="P41" s="12">
        <f t="shared" si="7"/>
        <v>49728.57</v>
      </c>
      <c r="Q41" s="12"/>
      <c r="R41" s="12">
        <f t="shared" ref="R41" si="76">SUM($H$6*Q41/100)</f>
        <v>0</v>
      </c>
      <c r="S41" s="12"/>
      <c r="T41" s="12">
        <f t="shared" ref="T41" si="77">SUM($H$6*S41/100)</f>
        <v>0</v>
      </c>
      <c r="U41" s="128"/>
      <c r="V41" s="12">
        <f t="shared" ref="V41" si="78">SUM($H$6*3.5/100)*U41</f>
        <v>0</v>
      </c>
      <c r="W41" s="12">
        <v>32</v>
      </c>
      <c r="X41" s="12"/>
      <c r="Y41" s="16">
        <v>4973</v>
      </c>
      <c r="Z41" s="16"/>
      <c r="AA41" s="12">
        <v>32</v>
      </c>
      <c r="AB41" s="12"/>
      <c r="AC41" s="15">
        <f t="shared" si="8"/>
        <v>0</v>
      </c>
      <c r="AD41" s="12">
        <v>1</v>
      </c>
      <c r="AE41" s="15">
        <f t="shared" si="9"/>
        <v>5309.0999999999995</v>
      </c>
      <c r="AF41" s="12"/>
      <c r="AG41" s="15">
        <f t="shared" si="10"/>
        <v>0</v>
      </c>
      <c r="AH41" s="128"/>
      <c r="AI41" s="12">
        <f t="shared" si="0"/>
        <v>0</v>
      </c>
      <c r="AJ41" s="128"/>
      <c r="AK41" s="12">
        <f t="shared" si="1"/>
        <v>0</v>
      </c>
      <c r="AL41" s="15">
        <f t="shared" si="2"/>
        <v>10282.099999999999</v>
      </c>
      <c r="AM41" s="15">
        <f t="shared" si="11"/>
        <v>60010.67</v>
      </c>
      <c r="AN41" s="15">
        <f t="shared" ref="AN41" si="79">SUM(AM41*12)</f>
        <v>720128.04</v>
      </c>
      <c r="AO41" s="17"/>
      <c r="AP41" s="18">
        <f t="shared" si="70"/>
        <v>0</v>
      </c>
      <c r="AQ41" s="19">
        <f t="shared" si="14"/>
        <v>720128.04</v>
      </c>
    </row>
    <row r="42" spans="1:43" s="20" customFormat="1" ht="15">
      <c r="A42" s="11">
        <v>32</v>
      </c>
      <c r="B42" s="13" t="s">
        <v>74</v>
      </c>
      <c r="C42" s="69" t="s">
        <v>79</v>
      </c>
      <c r="D42" s="69"/>
      <c r="E42" s="12" t="s">
        <v>78</v>
      </c>
      <c r="F42" s="11"/>
      <c r="G42" s="11"/>
      <c r="H42" s="11">
        <v>2.81</v>
      </c>
      <c r="I42" s="12">
        <v>0.5</v>
      </c>
      <c r="J42" s="15">
        <f t="shared" si="3"/>
        <v>24864.285</v>
      </c>
      <c r="K42" s="128"/>
      <c r="L42" s="12">
        <f t="shared" si="4"/>
        <v>0</v>
      </c>
      <c r="M42" s="15">
        <f t="shared" si="5"/>
        <v>24864.285</v>
      </c>
      <c r="N42" s="128"/>
      <c r="O42" s="12">
        <f t="shared" si="6"/>
        <v>0</v>
      </c>
      <c r="P42" s="15">
        <f t="shared" si="7"/>
        <v>24864.285</v>
      </c>
      <c r="Q42" s="12"/>
      <c r="R42" s="12">
        <f t="shared" si="23"/>
        <v>0</v>
      </c>
      <c r="S42" s="12"/>
      <c r="T42" s="12">
        <f t="shared" ref="T42:T45" si="80">SUM($H$6*S42/100)</f>
        <v>0</v>
      </c>
      <c r="U42" s="128"/>
      <c r="V42" s="12">
        <f t="shared" si="17"/>
        <v>0</v>
      </c>
      <c r="W42" s="12">
        <v>33</v>
      </c>
      <c r="X42" s="12"/>
      <c r="Y42" s="16">
        <v>2486</v>
      </c>
      <c r="Z42" s="16"/>
      <c r="AA42" s="12">
        <v>33</v>
      </c>
      <c r="AB42" s="12"/>
      <c r="AC42" s="15">
        <f t="shared" si="8"/>
        <v>0</v>
      </c>
      <c r="AD42" s="12"/>
      <c r="AE42" s="15">
        <f t="shared" si="9"/>
        <v>0</v>
      </c>
      <c r="AF42" s="12"/>
      <c r="AG42" s="15">
        <f t="shared" si="10"/>
        <v>0</v>
      </c>
      <c r="AH42" s="128"/>
      <c r="AI42" s="12">
        <f t="shared" si="0"/>
        <v>0</v>
      </c>
      <c r="AJ42" s="128"/>
      <c r="AK42" s="12">
        <f t="shared" si="1"/>
        <v>0</v>
      </c>
      <c r="AL42" s="15">
        <f t="shared" si="2"/>
        <v>2486</v>
      </c>
      <c r="AM42" s="15">
        <f t="shared" si="11"/>
        <v>27350.285</v>
      </c>
      <c r="AN42" s="15">
        <f t="shared" si="12"/>
        <v>328203.42</v>
      </c>
      <c r="AO42" s="17"/>
      <c r="AP42" s="18">
        <f t="shared" si="70"/>
        <v>0</v>
      </c>
      <c r="AQ42" s="19">
        <f t="shared" si="14"/>
        <v>328203.42</v>
      </c>
    </row>
    <row r="43" spans="1:43" s="20" customFormat="1" ht="15">
      <c r="A43" s="11">
        <v>33</v>
      </c>
      <c r="B43" s="13" t="s">
        <v>61</v>
      </c>
      <c r="C43" s="69" t="s">
        <v>80</v>
      </c>
      <c r="D43" s="69"/>
      <c r="E43" s="12" t="s">
        <v>78</v>
      </c>
      <c r="F43" s="11"/>
      <c r="G43" s="11"/>
      <c r="H43" s="11">
        <v>2.81</v>
      </c>
      <c r="I43" s="12">
        <v>0.5</v>
      </c>
      <c r="J43" s="15">
        <f t="shared" si="3"/>
        <v>24864.285</v>
      </c>
      <c r="K43" s="128"/>
      <c r="L43" s="12">
        <f t="shared" si="4"/>
        <v>0</v>
      </c>
      <c r="M43" s="15">
        <f t="shared" si="5"/>
        <v>24864.285</v>
      </c>
      <c r="N43" s="128"/>
      <c r="O43" s="12">
        <f t="shared" si="6"/>
        <v>0</v>
      </c>
      <c r="P43" s="15">
        <f t="shared" si="7"/>
        <v>24864.285</v>
      </c>
      <c r="Q43" s="12"/>
      <c r="R43" s="12">
        <f t="shared" ref="R43" si="81">SUM($H$6*Q43/100)</f>
        <v>0</v>
      </c>
      <c r="S43" s="12"/>
      <c r="T43" s="12">
        <f t="shared" si="80"/>
        <v>0</v>
      </c>
      <c r="U43" s="128"/>
      <c r="V43" s="12">
        <f t="shared" ref="V43" si="82">SUM($H$6*3.5/100)*U43</f>
        <v>0</v>
      </c>
      <c r="W43" s="12">
        <v>34</v>
      </c>
      <c r="X43" s="12"/>
      <c r="Y43" s="16">
        <v>2486</v>
      </c>
      <c r="Z43" s="16"/>
      <c r="AA43" s="12">
        <v>34</v>
      </c>
      <c r="AB43" s="12"/>
      <c r="AC43" s="15">
        <f t="shared" si="8"/>
        <v>0</v>
      </c>
      <c r="AD43" s="12"/>
      <c r="AE43" s="15">
        <f t="shared" si="9"/>
        <v>0</v>
      </c>
      <c r="AF43" s="12"/>
      <c r="AG43" s="15">
        <f t="shared" si="10"/>
        <v>0</v>
      </c>
      <c r="AH43" s="128"/>
      <c r="AI43" s="12">
        <f t="shared" si="0"/>
        <v>0</v>
      </c>
      <c r="AJ43" s="128"/>
      <c r="AK43" s="12">
        <f t="shared" si="1"/>
        <v>0</v>
      </c>
      <c r="AL43" s="15">
        <f t="shared" si="2"/>
        <v>2486</v>
      </c>
      <c r="AM43" s="15">
        <f t="shared" si="11"/>
        <v>27350.285</v>
      </c>
      <c r="AN43" s="15">
        <f t="shared" si="12"/>
        <v>328203.42</v>
      </c>
      <c r="AO43" s="17"/>
      <c r="AP43" s="18">
        <f t="shared" si="70"/>
        <v>0</v>
      </c>
      <c r="AQ43" s="19">
        <f t="shared" si="14"/>
        <v>328203.42</v>
      </c>
    </row>
    <row r="44" spans="1:43" s="20" customFormat="1">
      <c r="A44" s="11">
        <v>34</v>
      </c>
      <c r="B44" s="11" t="s">
        <v>81</v>
      </c>
      <c r="C44" s="69" t="s">
        <v>82</v>
      </c>
      <c r="D44" s="69"/>
      <c r="E44" s="12" t="s">
        <v>78</v>
      </c>
      <c r="F44" s="11"/>
      <c r="G44" s="11"/>
      <c r="H44" s="11">
        <v>2.81</v>
      </c>
      <c r="I44" s="12">
        <v>1</v>
      </c>
      <c r="J44" s="12">
        <f t="shared" si="3"/>
        <v>49728.57</v>
      </c>
      <c r="K44" s="128"/>
      <c r="L44" s="12">
        <f t="shared" si="4"/>
        <v>0</v>
      </c>
      <c r="M44" s="12">
        <f t="shared" si="5"/>
        <v>49728.57</v>
      </c>
      <c r="N44" s="128"/>
      <c r="O44" s="12">
        <f t="shared" si="6"/>
        <v>0</v>
      </c>
      <c r="P44" s="12">
        <f t="shared" si="7"/>
        <v>49728.57</v>
      </c>
      <c r="Q44" s="12"/>
      <c r="R44" s="12">
        <f t="shared" si="23"/>
        <v>0</v>
      </c>
      <c r="S44" s="12"/>
      <c r="T44" s="12">
        <f t="shared" si="80"/>
        <v>0</v>
      </c>
      <c r="U44" s="128"/>
      <c r="V44" s="12">
        <f t="shared" si="17"/>
        <v>0</v>
      </c>
      <c r="W44" s="12">
        <v>35</v>
      </c>
      <c r="X44" s="12"/>
      <c r="Y44" s="16">
        <v>4973</v>
      </c>
      <c r="Z44" s="16"/>
      <c r="AA44" s="12">
        <v>35</v>
      </c>
      <c r="AB44" s="12"/>
      <c r="AC44" s="15">
        <f t="shared" si="8"/>
        <v>0</v>
      </c>
      <c r="AD44" s="12"/>
      <c r="AE44" s="15">
        <f t="shared" si="9"/>
        <v>0</v>
      </c>
      <c r="AF44" s="12"/>
      <c r="AG44" s="15">
        <f t="shared" si="10"/>
        <v>0</v>
      </c>
      <c r="AH44" s="128">
        <v>1</v>
      </c>
      <c r="AI44" s="15">
        <f>SUM($H$6*H44*I44/168*24)/3*AH44</f>
        <v>2368.0271428571427</v>
      </c>
      <c r="AJ44" s="128">
        <v>10</v>
      </c>
      <c r="AK44" s="15">
        <f t="shared" si="1"/>
        <v>11840.135714285714</v>
      </c>
      <c r="AL44" s="15">
        <f t="shared" si="2"/>
        <v>19181.162857142859</v>
      </c>
      <c r="AM44" s="15">
        <f t="shared" si="11"/>
        <v>68909.732857142866</v>
      </c>
      <c r="AN44" s="15">
        <f t="shared" ref="AN44:AN46" si="83">SUM(AM44*13)</f>
        <v>895826.5271428572</v>
      </c>
      <c r="AO44" s="17"/>
      <c r="AP44" s="18">
        <f t="shared" si="70"/>
        <v>0</v>
      </c>
      <c r="AQ44" s="19">
        <f t="shared" si="14"/>
        <v>895826.5271428572</v>
      </c>
    </row>
    <row r="45" spans="1:43" s="20" customFormat="1">
      <c r="A45" s="11">
        <v>35</v>
      </c>
      <c r="B45" s="11" t="s">
        <v>83</v>
      </c>
      <c r="C45" s="69" t="s">
        <v>82</v>
      </c>
      <c r="D45" s="69"/>
      <c r="E45" s="12" t="s">
        <v>78</v>
      </c>
      <c r="F45" s="11"/>
      <c r="G45" s="11"/>
      <c r="H45" s="11">
        <v>2.81</v>
      </c>
      <c r="I45" s="12">
        <v>1</v>
      </c>
      <c r="J45" s="12">
        <f t="shared" si="3"/>
        <v>49728.57</v>
      </c>
      <c r="K45" s="128"/>
      <c r="L45" s="12">
        <f t="shared" si="4"/>
        <v>0</v>
      </c>
      <c r="M45" s="12">
        <f t="shared" si="5"/>
        <v>49728.57</v>
      </c>
      <c r="N45" s="128"/>
      <c r="O45" s="12">
        <f t="shared" si="6"/>
        <v>0</v>
      </c>
      <c r="P45" s="12">
        <f t="shared" si="7"/>
        <v>49728.57</v>
      </c>
      <c r="Q45" s="12"/>
      <c r="R45" s="12">
        <f t="shared" si="23"/>
        <v>0</v>
      </c>
      <c r="S45" s="12"/>
      <c r="T45" s="12">
        <f t="shared" si="80"/>
        <v>0</v>
      </c>
      <c r="U45" s="128"/>
      <c r="V45" s="12">
        <f t="shared" si="17"/>
        <v>0</v>
      </c>
      <c r="W45" s="12">
        <v>36</v>
      </c>
      <c r="X45" s="12"/>
      <c r="Y45" s="16">
        <v>4973</v>
      </c>
      <c r="Z45" s="16"/>
      <c r="AA45" s="12">
        <v>36</v>
      </c>
      <c r="AB45" s="12"/>
      <c r="AC45" s="15">
        <f t="shared" si="8"/>
        <v>0</v>
      </c>
      <c r="AD45" s="12"/>
      <c r="AE45" s="15">
        <f t="shared" si="9"/>
        <v>0</v>
      </c>
      <c r="AF45" s="12"/>
      <c r="AG45" s="15">
        <f t="shared" si="10"/>
        <v>0</v>
      </c>
      <c r="AH45" s="128">
        <v>1</v>
      </c>
      <c r="AI45" s="15">
        <f>SUM($H$6*H45*I45/168*24)/3*AH45</f>
        <v>2368.0271428571427</v>
      </c>
      <c r="AJ45" s="128">
        <v>10</v>
      </c>
      <c r="AK45" s="15">
        <f t="shared" si="1"/>
        <v>11840.135714285714</v>
      </c>
      <c r="AL45" s="15">
        <f t="shared" si="2"/>
        <v>19181.162857142859</v>
      </c>
      <c r="AM45" s="15">
        <f t="shared" si="11"/>
        <v>68909.732857142866</v>
      </c>
      <c r="AN45" s="15">
        <f t="shared" si="83"/>
        <v>895826.5271428572</v>
      </c>
      <c r="AO45" s="17"/>
      <c r="AP45" s="18">
        <f t="shared" si="70"/>
        <v>0</v>
      </c>
      <c r="AQ45" s="19">
        <f t="shared" si="14"/>
        <v>895826.5271428572</v>
      </c>
    </row>
    <row r="46" spans="1:43" s="20" customFormat="1">
      <c r="A46" s="11">
        <v>36</v>
      </c>
      <c r="B46" s="11" t="s">
        <v>89</v>
      </c>
      <c r="C46" s="11" t="s">
        <v>82</v>
      </c>
      <c r="D46" s="69"/>
      <c r="E46" s="12" t="s">
        <v>78</v>
      </c>
      <c r="F46" s="11"/>
      <c r="G46" s="11"/>
      <c r="H46" s="11">
        <v>2.81</v>
      </c>
      <c r="I46" s="12">
        <v>1</v>
      </c>
      <c r="J46" s="12">
        <f t="shared" si="3"/>
        <v>49728.57</v>
      </c>
      <c r="K46" s="128"/>
      <c r="L46" s="12">
        <f t="shared" si="4"/>
        <v>0</v>
      </c>
      <c r="M46" s="12">
        <f t="shared" si="5"/>
        <v>49728.57</v>
      </c>
      <c r="N46" s="128"/>
      <c r="O46" s="12">
        <f t="shared" si="6"/>
        <v>0</v>
      </c>
      <c r="P46" s="12">
        <f t="shared" si="7"/>
        <v>49728.57</v>
      </c>
      <c r="Q46" s="12"/>
      <c r="R46" s="12">
        <f t="shared" ref="R46" si="84">SUM($H$6*Q46/100)</f>
        <v>0</v>
      </c>
      <c r="S46" s="12"/>
      <c r="T46" s="12">
        <f t="shared" ref="T46" si="85">SUM($H$6*S46/100)</f>
        <v>0</v>
      </c>
      <c r="U46" s="128"/>
      <c r="V46" s="12">
        <f t="shared" ref="V46" si="86">SUM($H$6*3.5/100)*U46</f>
        <v>0</v>
      </c>
      <c r="W46" s="12">
        <v>37</v>
      </c>
      <c r="X46" s="12"/>
      <c r="Y46" s="16">
        <v>4973</v>
      </c>
      <c r="Z46" s="16"/>
      <c r="AA46" s="12">
        <v>37</v>
      </c>
      <c r="AB46" s="12"/>
      <c r="AC46" s="15">
        <f t="shared" si="8"/>
        <v>0</v>
      </c>
      <c r="AD46" s="12"/>
      <c r="AE46" s="15">
        <f t="shared" si="9"/>
        <v>0</v>
      </c>
      <c r="AF46" s="12"/>
      <c r="AG46" s="15">
        <f t="shared" si="10"/>
        <v>0</v>
      </c>
      <c r="AH46" s="128">
        <v>1</v>
      </c>
      <c r="AI46" s="15">
        <f>SUM($H$6*H46*I46/168*24)/3*AH46</f>
        <v>2368.0271428571427</v>
      </c>
      <c r="AJ46" s="128">
        <v>10</v>
      </c>
      <c r="AK46" s="15">
        <f t="shared" si="1"/>
        <v>11840.135714285714</v>
      </c>
      <c r="AL46" s="15">
        <f t="shared" si="2"/>
        <v>19181.162857142859</v>
      </c>
      <c r="AM46" s="15">
        <f t="shared" si="11"/>
        <v>68909.732857142866</v>
      </c>
      <c r="AN46" s="15">
        <f t="shared" si="83"/>
        <v>895826.5271428572</v>
      </c>
      <c r="AO46" s="17"/>
      <c r="AP46" s="18">
        <f t="shared" si="70"/>
        <v>0</v>
      </c>
      <c r="AQ46" s="19">
        <f t="shared" si="14"/>
        <v>895826.5271428572</v>
      </c>
    </row>
    <row r="47" spans="1:43" s="20" customFormat="1">
      <c r="A47" s="36"/>
      <c r="B47" s="36" t="s">
        <v>84</v>
      </c>
      <c r="C47" s="36"/>
      <c r="D47" s="36"/>
      <c r="E47" s="36"/>
      <c r="F47" s="36"/>
      <c r="G47" s="36"/>
      <c r="H47" s="36"/>
      <c r="I47" s="37">
        <f>SUM(I11:I46)</f>
        <v>31</v>
      </c>
      <c r="J47" s="37">
        <f>SUM(J11:J46)</f>
        <v>2055462.3075000003</v>
      </c>
      <c r="K47" s="37">
        <f t="shared" ref="K47:Y47" si="87">SUM(K11:K46)</f>
        <v>0</v>
      </c>
      <c r="L47" s="37">
        <f t="shared" si="87"/>
        <v>0</v>
      </c>
      <c r="M47" s="37">
        <f t="shared" si="87"/>
        <v>2055462.3075000003</v>
      </c>
      <c r="N47" s="37">
        <f t="shared" ref="N47:P47" si="88">SUM(N11:N46)</f>
        <v>600</v>
      </c>
      <c r="O47" s="37">
        <f t="shared" si="88"/>
        <v>374435.33812500001</v>
      </c>
      <c r="P47" s="37">
        <f t="shared" si="88"/>
        <v>2429897.6456250004</v>
      </c>
      <c r="Q47" s="37">
        <f t="shared" si="87"/>
        <v>0</v>
      </c>
      <c r="R47" s="37">
        <f t="shared" si="87"/>
        <v>0</v>
      </c>
      <c r="S47" s="37">
        <f t="shared" si="87"/>
        <v>0</v>
      </c>
      <c r="T47" s="37">
        <f t="shared" si="87"/>
        <v>0</v>
      </c>
      <c r="U47" s="37">
        <f t="shared" si="87"/>
        <v>0</v>
      </c>
      <c r="V47" s="37">
        <f t="shared" si="87"/>
        <v>0</v>
      </c>
      <c r="W47" s="37"/>
      <c r="X47" s="37">
        <f t="shared" si="87"/>
        <v>0</v>
      </c>
      <c r="Y47" s="37">
        <f t="shared" si="87"/>
        <v>205543</v>
      </c>
      <c r="Z47" s="37"/>
      <c r="AA47" s="37"/>
      <c r="AB47" s="37">
        <f t="shared" ref="AB47:AO47" si="89">SUM(AB11:AB46)</f>
        <v>1</v>
      </c>
      <c r="AC47" s="37">
        <f>SUM(AC11:AC46)</f>
        <v>3539.4</v>
      </c>
      <c r="AD47" s="37">
        <f t="shared" si="89"/>
        <v>12</v>
      </c>
      <c r="AE47" s="37">
        <f>SUM(AE11:AE46)</f>
        <v>79636.5</v>
      </c>
      <c r="AF47" s="37">
        <f t="shared" si="89"/>
        <v>0</v>
      </c>
      <c r="AG47" s="37">
        <f t="shared" si="89"/>
        <v>0</v>
      </c>
      <c r="AH47" s="37">
        <f t="shared" si="89"/>
        <v>3</v>
      </c>
      <c r="AI47" s="37">
        <f>SUM(AI11:AI46)</f>
        <v>7104.0814285714278</v>
      </c>
      <c r="AJ47" s="37">
        <f t="shared" si="89"/>
        <v>30</v>
      </c>
      <c r="AK47" s="37">
        <f>SUM(AK11:AK46)</f>
        <v>35520.407142857141</v>
      </c>
      <c r="AL47" s="37">
        <f>SUM(AL11:AL46)</f>
        <v>331343.3885714286</v>
      </c>
      <c r="AM47" s="37">
        <f>SUM(AM11:AM46)</f>
        <v>2761241.034196429</v>
      </c>
      <c r="AN47" s="37">
        <f>SUM(AN11:AN46)</f>
        <v>34693376.906428583</v>
      </c>
      <c r="AO47" s="37">
        <f t="shared" si="89"/>
        <v>25</v>
      </c>
      <c r="AP47" s="38">
        <f>SUM(AP11:AP46)</f>
        <v>2081797.6556250006</v>
      </c>
      <c r="AQ47" s="37">
        <f>SUM(AQ11:AQ46)</f>
        <v>36775174.562053576</v>
      </c>
    </row>
    <row r="48" spans="1:43" s="20" customFormat="1">
      <c r="A48" s="43"/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86"/>
      <c r="AN48" s="44"/>
      <c r="AO48" s="44"/>
      <c r="AP48" s="45"/>
      <c r="AQ48" s="44"/>
    </row>
    <row r="49" spans="2:39" s="20" customFormat="1" ht="15.95" customHeight="1">
      <c r="B49" s="39" t="s">
        <v>85</v>
      </c>
      <c r="C49" s="39"/>
      <c r="D49" s="40" t="s">
        <v>160</v>
      </c>
      <c r="E49" s="39"/>
      <c r="AM49" s="87"/>
    </row>
    <row r="50" spans="2:39" s="20" customFormat="1" ht="15.95" customHeight="1">
      <c r="B50" s="39" t="s">
        <v>86</v>
      </c>
      <c r="C50" s="39"/>
      <c r="D50" s="40" t="s">
        <v>28</v>
      </c>
      <c r="E50" s="39"/>
      <c r="AM50" s="87"/>
    </row>
    <row r="51" spans="2:39" ht="15.95" customHeight="1">
      <c r="B51" s="39" t="s">
        <v>87</v>
      </c>
      <c r="C51" s="39"/>
      <c r="D51" s="39" t="s">
        <v>32</v>
      </c>
      <c r="E51" s="39"/>
    </row>
  </sheetData>
  <mergeCells count="37">
    <mergeCell ref="AJ8:AK8"/>
    <mergeCell ref="AL8:AL9"/>
    <mergeCell ref="AN7:AN9"/>
    <mergeCell ref="AO7:AP8"/>
    <mergeCell ref="AQ7:AQ9"/>
    <mergeCell ref="AM7:AM9"/>
    <mergeCell ref="A7:A9"/>
    <mergeCell ref="B7:B9"/>
    <mergeCell ref="C7:C9"/>
    <mergeCell ref="D7:D9"/>
    <mergeCell ref="S8:T8"/>
    <mergeCell ref="I7:I9"/>
    <mergeCell ref="J7:J9"/>
    <mergeCell ref="K7:L8"/>
    <mergeCell ref="M7:M9"/>
    <mergeCell ref="Q7:AL7"/>
    <mergeCell ref="X8:Y8"/>
    <mergeCell ref="AB8:AC8"/>
    <mergeCell ref="AD8:AE8"/>
    <mergeCell ref="AF8:AG8"/>
    <mergeCell ref="E8:E9"/>
    <mergeCell ref="F8:F9"/>
    <mergeCell ref="E7:F7"/>
    <mergeCell ref="N7:O8"/>
    <mergeCell ref="P7:P9"/>
    <mergeCell ref="B5:D5"/>
    <mergeCell ref="B1:D1"/>
    <mergeCell ref="B2:D2"/>
    <mergeCell ref="M2:AI2"/>
    <mergeCell ref="B3:F3"/>
    <mergeCell ref="B4:F4"/>
    <mergeCell ref="B6:D6"/>
    <mergeCell ref="U8:V8"/>
    <mergeCell ref="G8:G9"/>
    <mergeCell ref="H8:H9"/>
    <mergeCell ref="Q8:R8"/>
    <mergeCell ref="AH8:AI8"/>
  </mergeCells>
  <pageMargins left="0.39370078740157483" right="0.39370078740157483" top="0.43307086614173229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32"/>
  <sheetViews>
    <sheetView zoomScale="90" zoomScaleNormal="90" workbookViewId="0">
      <selection activeCell="D30" sqref="D30"/>
    </sheetView>
  </sheetViews>
  <sheetFormatPr defaultRowHeight="12.75"/>
  <cols>
    <col min="1" max="1" width="5.140625" style="3" customWidth="1"/>
    <col min="2" max="2" width="24.85546875" style="3" customWidth="1"/>
    <col min="3" max="3" width="24.28515625" style="3" customWidth="1"/>
    <col min="4" max="4" width="9.140625" style="3" customWidth="1"/>
    <col min="5" max="5" width="9.7109375" style="3" customWidth="1"/>
    <col min="6" max="6" width="8" style="3" customWidth="1"/>
    <col min="7" max="7" width="11.42578125" style="3" customWidth="1"/>
    <col min="8" max="8" width="8.28515625" style="20" customWidth="1"/>
    <col min="9" max="9" width="7.42578125" style="3" customWidth="1"/>
    <col min="10" max="10" width="16.42578125" style="3" customWidth="1"/>
    <col min="11" max="11" width="9.28515625" style="3" customWidth="1"/>
    <col min="12" max="12" width="11.85546875" style="3" customWidth="1"/>
    <col min="13" max="13" width="15.42578125" style="3" customWidth="1"/>
    <col min="14" max="14" width="9.28515625" style="3" customWidth="1"/>
    <col min="15" max="15" width="11.85546875" style="3" customWidth="1"/>
    <col min="16" max="16" width="15.42578125" style="3" customWidth="1"/>
    <col min="17" max="17" width="9.28515625" style="3" hidden="1" customWidth="1"/>
    <col min="18" max="18" width="12.42578125" style="3" hidden="1" customWidth="1"/>
    <col min="19" max="19" width="6.5703125" style="3" hidden="1" customWidth="1"/>
    <col min="20" max="20" width="7.85546875" style="3" hidden="1" customWidth="1"/>
    <col min="21" max="21" width="6.28515625" style="3" hidden="1" customWidth="1"/>
    <col min="22" max="22" width="9.140625" style="3" hidden="1" customWidth="1"/>
    <col min="23" max="23" width="9.140625" style="3" customWidth="1"/>
    <col min="24" max="24" width="7.85546875" style="3" customWidth="1"/>
    <col min="25" max="25" width="9.28515625" style="3" customWidth="1"/>
    <col min="26" max="26" width="8.28515625" style="3" hidden="1" customWidth="1"/>
    <col min="27" max="27" width="6.42578125" style="3" hidden="1" customWidth="1"/>
    <col min="28" max="28" width="6.28515625" style="3" customWidth="1"/>
    <col min="29" max="29" width="9.140625" style="3" customWidth="1"/>
    <col min="30" max="30" width="6.140625" style="3" customWidth="1"/>
    <col min="31" max="31" width="9.140625" style="3" customWidth="1"/>
    <col min="32" max="32" width="4.85546875" style="3" customWidth="1"/>
    <col min="33" max="33" width="9.140625" style="3" customWidth="1"/>
    <col min="34" max="34" width="5.85546875" style="3" hidden="1" customWidth="1"/>
    <col min="35" max="35" width="11.5703125" style="3" hidden="1" customWidth="1"/>
    <col min="36" max="36" width="6.5703125" style="3" hidden="1" customWidth="1"/>
    <col min="37" max="37" width="9.28515625" style="3" hidden="1" customWidth="1"/>
    <col min="38" max="38" width="9.5703125" style="3" customWidth="1"/>
    <col min="39" max="39" width="14.42578125" style="87" customWidth="1"/>
    <col min="40" max="40" width="13.42578125" style="3" customWidth="1"/>
    <col min="41" max="41" width="6.28515625" style="3" customWidth="1"/>
    <col min="42" max="42" width="11.7109375" style="3" customWidth="1"/>
    <col min="43" max="43" width="13.42578125" style="3" customWidth="1"/>
    <col min="44" max="263" width="8.85546875" style="3"/>
    <col min="264" max="264" width="5.140625" style="3" customWidth="1"/>
    <col min="265" max="265" width="24.85546875" style="3" customWidth="1"/>
    <col min="266" max="266" width="19.140625" style="3" customWidth="1"/>
    <col min="267" max="269" width="8.85546875" style="3"/>
    <col min="270" max="270" width="11.42578125" style="3" customWidth="1"/>
    <col min="271" max="275" width="8.85546875" style="3"/>
    <col min="276" max="276" width="10.28515625" style="3" customWidth="1"/>
    <col min="277" max="278" width="8.85546875" style="3"/>
    <col min="279" max="280" width="0" style="3" hidden="1" customWidth="1"/>
    <col min="281" max="287" width="8.85546875" style="3"/>
    <col min="288" max="288" width="7.5703125" style="3" customWidth="1"/>
    <col min="289" max="291" width="8.85546875" style="3"/>
    <col min="292" max="292" width="10.85546875" style="3" customWidth="1"/>
    <col min="293" max="293" width="13.42578125" style="3" customWidth="1"/>
    <col min="294" max="519" width="8.85546875" style="3"/>
    <col min="520" max="520" width="5.140625" style="3" customWidth="1"/>
    <col min="521" max="521" width="24.85546875" style="3" customWidth="1"/>
    <col min="522" max="522" width="19.140625" style="3" customWidth="1"/>
    <col min="523" max="525" width="8.85546875" style="3"/>
    <col min="526" max="526" width="11.42578125" style="3" customWidth="1"/>
    <col min="527" max="531" width="8.85546875" style="3"/>
    <col min="532" max="532" width="10.28515625" style="3" customWidth="1"/>
    <col min="533" max="534" width="8.85546875" style="3"/>
    <col min="535" max="536" width="0" style="3" hidden="1" customWidth="1"/>
    <col min="537" max="543" width="8.85546875" style="3"/>
    <col min="544" max="544" width="7.5703125" style="3" customWidth="1"/>
    <col min="545" max="547" width="8.85546875" style="3"/>
    <col min="548" max="548" width="10.85546875" style="3" customWidth="1"/>
    <col min="549" max="549" width="13.42578125" style="3" customWidth="1"/>
    <col min="550" max="775" width="8.85546875" style="3"/>
    <col min="776" max="776" width="5.140625" style="3" customWidth="1"/>
    <col min="777" max="777" width="24.85546875" style="3" customWidth="1"/>
    <col min="778" max="778" width="19.140625" style="3" customWidth="1"/>
    <col min="779" max="781" width="8.85546875" style="3"/>
    <col min="782" max="782" width="11.42578125" style="3" customWidth="1"/>
    <col min="783" max="787" width="8.85546875" style="3"/>
    <col min="788" max="788" width="10.28515625" style="3" customWidth="1"/>
    <col min="789" max="790" width="8.85546875" style="3"/>
    <col min="791" max="792" width="0" style="3" hidden="1" customWidth="1"/>
    <col min="793" max="799" width="8.85546875" style="3"/>
    <col min="800" max="800" width="7.5703125" style="3" customWidth="1"/>
    <col min="801" max="803" width="8.85546875" style="3"/>
    <col min="804" max="804" width="10.85546875" style="3" customWidth="1"/>
    <col min="805" max="805" width="13.42578125" style="3" customWidth="1"/>
    <col min="806" max="1031" width="8.85546875" style="3"/>
    <col min="1032" max="1032" width="5.140625" style="3" customWidth="1"/>
    <col min="1033" max="1033" width="24.85546875" style="3" customWidth="1"/>
    <col min="1034" max="1034" width="19.140625" style="3" customWidth="1"/>
    <col min="1035" max="1037" width="8.85546875" style="3"/>
    <col min="1038" max="1038" width="11.42578125" style="3" customWidth="1"/>
    <col min="1039" max="1043" width="8.85546875" style="3"/>
    <col min="1044" max="1044" width="10.28515625" style="3" customWidth="1"/>
    <col min="1045" max="1046" width="8.85546875" style="3"/>
    <col min="1047" max="1048" width="0" style="3" hidden="1" customWidth="1"/>
    <col min="1049" max="1055" width="8.85546875" style="3"/>
    <col min="1056" max="1056" width="7.5703125" style="3" customWidth="1"/>
    <col min="1057" max="1059" width="8.85546875" style="3"/>
    <col min="1060" max="1060" width="10.85546875" style="3" customWidth="1"/>
    <col min="1061" max="1061" width="13.42578125" style="3" customWidth="1"/>
    <col min="1062" max="1287" width="8.85546875" style="3"/>
    <col min="1288" max="1288" width="5.140625" style="3" customWidth="1"/>
    <col min="1289" max="1289" width="24.85546875" style="3" customWidth="1"/>
    <col min="1290" max="1290" width="19.140625" style="3" customWidth="1"/>
    <col min="1291" max="1293" width="8.85546875" style="3"/>
    <col min="1294" max="1294" width="11.42578125" style="3" customWidth="1"/>
    <col min="1295" max="1299" width="8.85546875" style="3"/>
    <col min="1300" max="1300" width="10.28515625" style="3" customWidth="1"/>
    <col min="1301" max="1302" width="8.85546875" style="3"/>
    <col min="1303" max="1304" width="0" style="3" hidden="1" customWidth="1"/>
    <col min="1305" max="1311" width="8.85546875" style="3"/>
    <col min="1312" max="1312" width="7.5703125" style="3" customWidth="1"/>
    <col min="1313" max="1315" width="8.85546875" style="3"/>
    <col min="1316" max="1316" width="10.85546875" style="3" customWidth="1"/>
    <col min="1317" max="1317" width="13.42578125" style="3" customWidth="1"/>
    <col min="1318" max="1543" width="8.85546875" style="3"/>
    <col min="1544" max="1544" width="5.140625" style="3" customWidth="1"/>
    <col min="1545" max="1545" width="24.85546875" style="3" customWidth="1"/>
    <col min="1546" max="1546" width="19.140625" style="3" customWidth="1"/>
    <col min="1547" max="1549" width="8.85546875" style="3"/>
    <col min="1550" max="1550" width="11.42578125" style="3" customWidth="1"/>
    <col min="1551" max="1555" width="8.85546875" style="3"/>
    <col min="1556" max="1556" width="10.28515625" style="3" customWidth="1"/>
    <col min="1557" max="1558" width="8.85546875" style="3"/>
    <col min="1559" max="1560" width="0" style="3" hidden="1" customWidth="1"/>
    <col min="1561" max="1567" width="8.85546875" style="3"/>
    <col min="1568" max="1568" width="7.5703125" style="3" customWidth="1"/>
    <col min="1569" max="1571" width="8.85546875" style="3"/>
    <col min="1572" max="1572" width="10.85546875" style="3" customWidth="1"/>
    <col min="1573" max="1573" width="13.42578125" style="3" customWidth="1"/>
    <col min="1574" max="1799" width="8.85546875" style="3"/>
    <col min="1800" max="1800" width="5.140625" style="3" customWidth="1"/>
    <col min="1801" max="1801" width="24.85546875" style="3" customWidth="1"/>
    <col min="1802" max="1802" width="19.140625" style="3" customWidth="1"/>
    <col min="1803" max="1805" width="8.85546875" style="3"/>
    <col min="1806" max="1806" width="11.42578125" style="3" customWidth="1"/>
    <col min="1807" max="1811" width="8.85546875" style="3"/>
    <col min="1812" max="1812" width="10.28515625" style="3" customWidth="1"/>
    <col min="1813" max="1814" width="8.85546875" style="3"/>
    <col min="1815" max="1816" width="0" style="3" hidden="1" customWidth="1"/>
    <col min="1817" max="1823" width="8.85546875" style="3"/>
    <col min="1824" max="1824" width="7.5703125" style="3" customWidth="1"/>
    <col min="1825" max="1827" width="8.85546875" style="3"/>
    <col min="1828" max="1828" width="10.85546875" style="3" customWidth="1"/>
    <col min="1829" max="1829" width="13.42578125" style="3" customWidth="1"/>
    <col min="1830" max="2055" width="8.85546875" style="3"/>
    <col min="2056" max="2056" width="5.140625" style="3" customWidth="1"/>
    <col min="2057" max="2057" width="24.85546875" style="3" customWidth="1"/>
    <col min="2058" max="2058" width="19.140625" style="3" customWidth="1"/>
    <col min="2059" max="2061" width="8.85546875" style="3"/>
    <col min="2062" max="2062" width="11.42578125" style="3" customWidth="1"/>
    <col min="2063" max="2067" width="8.85546875" style="3"/>
    <col min="2068" max="2068" width="10.28515625" style="3" customWidth="1"/>
    <col min="2069" max="2070" width="8.85546875" style="3"/>
    <col min="2071" max="2072" width="0" style="3" hidden="1" customWidth="1"/>
    <col min="2073" max="2079" width="8.85546875" style="3"/>
    <col min="2080" max="2080" width="7.5703125" style="3" customWidth="1"/>
    <col min="2081" max="2083" width="8.85546875" style="3"/>
    <col min="2084" max="2084" width="10.85546875" style="3" customWidth="1"/>
    <col min="2085" max="2085" width="13.42578125" style="3" customWidth="1"/>
    <col min="2086" max="2311" width="8.85546875" style="3"/>
    <col min="2312" max="2312" width="5.140625" style="3" customWidth="1"/>
    <col min="2313" max="2313" width="24.85546875" style="3" customWidth="1"/>
    <col min="2314" max="2314" width="19.140625" style="3" customWidth="1"/>
    <col min="2315" max="2317" width="8.85546875" style="3"/>
    <col min="2318" max="2318" width="11.42578125" style="3" customWidth="1"/>
    <col min="2319" max="2323" width="8.85546875" style="3"/>
    <col min="2324" max="2324" width="10.28515625" style="3" customWidth="1"/>
    <col min="2325" max="2326" width="8.85546875" style="3"/>
    <col min="2327" max="2328" width="0" style="3" hidden="1" customWidth="1"/>
    <col min="2329" max="2335" width="8.85546875" style="3"/>
    <col min="2336" max="2336" width="7.5703125" style="3" customWidth="1"/>
    <col min="2337" max="2339" width="8.85546875" style="3"/>
    <col min="2340" max="2340" width="10.85546875" style="3" customWidth="1"/>
    <col min="2341" max="2341" width="13.42578125" style="3" customWidth="1"/>
    <col min="2342" max="2567" width="8.85546875" style="3"/>
    <col min="2568" max="2568" width="5.140625" style="3" customWidth="1"/>
    <col min="2569" max="2569" width="24.85546875" style="3" customWidth="1"/>
    <col min="2570" max="2570" width="19.140625" style="3" customWidth="1"/>
    <col min="2571" max="2573" width="8.85546875" style="3"/>
    <col min="2574" max="2574" width="11.42578125" style="3" customWidth="1"/>
    <col min="2575" max="2579" width="8.85546875" style="3"/>
    <col min="2580" max="2580" width="10.28515625" style="3" customWidth="1"/>
    <col min="2581" max="2582" width="8.85546875" style="3"/>
    <col min="2583" max="2584" width="0" style="3" hidden="1" customWidth="1"/>
    <col min="2585" max="2591" width="8.85546875" style="3"/>
    <col min="2592" max="2592" width="7.5703125" style="3" customWidth="1"/>
    <col min="2593" max="2595" width="8.85546875" style="3"/>
    <col min="2596" max="2596" width="10.85546875" style="3" customWidth="1"/>
    <col min="2597" max="2597" width="13.42578125" style="3" customWidth="1"/>
    <col min="2598" max="2823" width="8.85546875" style="3"/>
    <col min="2824" max="2824" width="5.140625" style="3" customWidth="1"/>
    <col min="2825" max="2825" width="24.85546875" style="3" customWidth="1"/>
    <col min="2826" max="2826" width="19.140625" style="3" customWidth="1"/>
    <col min="2827" max="2829" width="8.85546875" style="3"/>
    <col min="2830" max="2830" width="11.42578125" style="3" customWidth="1"/>
    <col min="2831" max="2835" width="8.85546875" style="3"/>
    <col min="2836" max="2836" width="10.28515625" style="3" customWidth="1"/>
    <col min="2837" max="2838" width="8.85546875" style="3"/>
    <col min="2839" max="2840" width="0" style="3" hidden="1" customWidth="1"/>
    <col min="2841" max="2847" width="8.85546875" style="3"/>
    <col min="2848" max="2848" width="7.5703125" style="3" customWidth="1"/>
    <col min="2849" max="2851" width="8.85546875" style="3"/>
    <col min="2852" max="2852" width="10.85546875" style="3" customWidth="1"/>
    <col min="2853" max="2853" width="13.42578125" style="3" customWidth="1"/>
    <col min="2854" max="3079" width="8.85546875" style="3"/>
    <col min="3080" max="3080" width="5.140625" style="3" customWidth="1"/>
    <col min="3081" max="3081" width="24.85546875" style="3" customWidth="1"/>
    <col min="3082" max="3082" width="19.140625" style="3" customWidth="1"/>
    <col min="3083" max="3085" width="8.85546875" style="3"/>
    <col min="3086" max="3086" width="11.42578125" style="3" customWidth="1"/>
    <col min="3087" max="3091" width="8.85546875" style="3"/>
    <col min="3092" max="3092" width="10.28515625" style="3" customWidth="1"/>
    <col min="3093" max="3094" width="8.85546875" style="3"/>
    <col min="3095" max="3096" width="0" style="3" hidden="1" customWidth="1"/>
    <col min="3097" max="3103" width="8.85546875" style="3"/>
    <col min="3104" max="3104" width="7.5703125" style="3" customWidth="1"/>
    <col min="3105" max="3107" width="8.85546875" style="3"/>
    <col min="3108" max="3108" width="10.85546875" style="3" customWidth="1"/>
    <col min="3109" max="3109" width="13.42578125" style="3" customWidth="1"/>
    <col min="3110" max="3335" width="8.85546875" style="3"/>
    <col min="3336" max="3336" width="5.140625" style="3" customWidth="1"/>
    <col min="3337" max="3337" width="24.85546875" style="3" customWidth="1"/>
    <col min="3338" max="3338" width="19.140625" style="3" customWidth="1"/>
    <col min="3339" max="3341" width="8.85546875" style="3"/>
    <col min="3342" max="3342" width="11.42578125" style="3" customWidth="1"/>
    <col min="3343" max="3347" width="8.85546875" style="3"/>
    <col min="3348" max="3348" width="10.28515625" style="3" customWidth="1"/>
    <col min="3349" max="3350" width="8.85546875" style="3"/>
    <col min="3351" max="3352" width="0" style="3" hidden="1" customWidth="1"/>
    <col min="3353" max="3359" width="8.85546875" style="3"/>
    <col min="3360" max="3360" width="7.5703125" style="3" customWidth="1"/>
    <col min="3361" max="3363" width="8.85546875" style="3"/>
    <col min="3364" max="3364" width="10.85546875" style="3" customWidth="1"/>
    <col min="3365" max="3365" width="13.42578125" style="3" customWidth="1"/>
    <col min="3366" max="3591" width="8.85546875" style="3"/>
    <col min="3592" max="3592" width="5.140625" style="3" customWidth="1"/>
    <col min="3593" max="3593" width="24.85546875" style="3" customWidth="1"/>
    <col min="3594" max="3594" width="19.140625" style="3" customWidth="1"/>
    <col min="3595" max="3597" width="8.85546875" style="3"/>
    <col min="3598" max="3598" width="11.42578125" style="3" customWidth="1"/>
    <col min="3599" max="3603" width="8.85546875" style="3"/>
    <col min="3604" max="3604" width="10.28515625" style="3" customWidth="1"/>
    <col min="3605" max="3606" width="8.85546875" style="3"/>
    <col min="3607" max="3608" width="0" style="3" hidden="1" customWidth="1"/>
    <col min="3609" max="3615" width="8.85546875" style="3"/>
    <col min="3616" max="3616" width="7.5703125" style="3" customWidth="1"/>
    <col min="3617" max="3619" width="8.85546875" style="3"/>
    <col min="3620" max="3620" width="10.85546875" style="3" customWidth="1"/>
    <col min="3621" max="3621" width="13.42578125" style="3" customWidth="1"/>
    <col min="3622" max="3847" width="8.85546875" style="3"/>
    <col min="3848" max="3848" width="5.140625" style="3" customWidth="1"/>
    <col min="3849" max="3849" width="24.85546875" style="3" customWidth="1"/>
    <col min="3850" max="3850" width="19.140625" style="3" customWidth="1"/>
    <col min="3851" max="3853" width="8.85546875" style="3"/>
    <col min="3854" max="3854" width="11.42578125" style="3" customWidth="1"/>
    <col min="3855" max="3859" width="8.85546875" style="3"/>
    <col min="3860" max="3860" width="10.28515625" style="3" customWidth="1"/>
    <col min="3861" max="3862" width="8.85546875" style="3"/>
    <col min="3863" max="3864" width="0" style="3" hidden="1" customWidth="1"/>
    <col min="3865" max="3871" width="8.85546875" style="3"/>
    <col min="3872" max="3872" width="7.5703125" style="3" customWidth="1"/>
    <col min="3873" max="3875" width="8.85546875" style="3"/>
    <col min="3876" max="3876" width="10.85546875" style="3" customWidth="1"/>
    <col min="3877" max="3877" width="13.42578125" style="3" customWidth="1"/>
    <col min="3878" max="4103" width="8.85546875" style="3"/>
    <col min="4104" max="4104" width="5.140625" style="3" customWidth="1"/>
    <col min="4105" max="4105" width="24.85546875" style="3" customWidth="1"/>
    <col min="4106" max="4106" width="19.140625" style="3" customWidth="1"/>
    <col min="4107" max="4109" width="8.85546875" style="3"/>
    <col min="4110" max="4110" width="11.42578125" style="3" customWidth="1"/>
    <col min="4111" max="4115" width="8.85546875" style="3"/>
    <col min="4116" max="4116" width="10.28515625" style="3" customWidth="1"/>
    <col min="4117" max="4118" width="8.85546875" style="3"/>
    <col min="4119" max="4120" width="0" style="3" hidden="1" customWidth="1"/>
    <col min="4121" max="4127" width="8.85546875" style="3"/>
    <col min="4128" max="4128" width="7.5703125" style="3" customWidth="1"/>
    <col min="4129" max="4131" width="8.85546875" style="3"/>
    <col min="4132" max="4132" width="10.85546875" style="3" customWidth="1"/>
    <col min="4133" max="4133" width="13.42578125" style="3" customWidth="1"/>
    <col min="4134" max="4359" width="8.85546875" style="3"/>
    <col min="4360" max="4360" width="5.140625" style="3" customWidth="1"/>
    <col min="4361" max="4361" width="24.85546875" style="3" customWidth="1"/>
    <col min="4362" max="4362" width="19.140625" style="3" customWidth="1"/>
    <col min="4363" max="4365" width="8.85546875" style="3"/>
    <col min="4366" max="4366" width="11.42578125" style="3" customWidth="1"/>
    <col min="4367" max="4371" width="8.85546875" style="3"/>
    <col min="4372" max="4372" width="10.28515625" style="3" customWidth="1"/>
    <col min="4373" max="4374" width="8.85546875" style="3"/>
    <col min="4375" max="4376" width="0" style="3" hidden="1" customWidth="1"/>
    <col min="4377" max="4383" width="8.85546875" style="3"/>
    <col min="4384" max="4384" width="7.5703125" style="3" customWidth="1"/>
    <col min="4385" max="4387" width="8.85546875" style="3"/>
    <col min="4388" max="4388" width="10.85546875" style="3" customWidth="1"/>
    <col min="4389" max="4389" width="13.42578125" style="3" customWidth="1"/>
    <col min="4390" max="4615" width="8.85546875" style="3"/>
    <col min="4616" max="4616" width="5.140625" style="3" customWidth="1"/>
    <col min="4617" max="4617" width="24.85546875" style="3" customWidth="1"/>
    <col min="4618" max="4618" width="19.140625" style="3" customWidth="1"/>
    <col min="4619" max="4621" width="8.85546875" style="3"/>
    <col min="4622" max="4622" width="11.42578125" style="3" customWidth="1"/>
    <col min="4623" max="4627" width="8.85546875" style="3"/>
    <col min="4628" max="4628" width="10.28515625" style="3" customWidth="1"/>
    <col min="4629" max="4630" width="8.85546875" style="3"/>
    <col min="4631" max="4632" width="0" style="3" hidden="1" customWidth="1"/>
    <col min="4633" max="4639" width="8.85546875" style="3"/>
    <col min="4640" max="4640" width="7.5703125" style="3" customWidth="1"/>
    <col min="4641" max="4643" width="8.85546875" style="3"/>
    <col min="4644" max="4644" width="10.85546875" style="3" customWidth="1"/>
    <col min="4645" max="4645" width="13.42578125" style="3" customWidth="1"/>
    <col min="4646" max="4871" width="8.85546875" style="3"/>
    <col min="4872" max="4872" width="5.140625" style="3" customWidth="1"/>
    <col min="4873" max="4873" width="24.85546875" style="3" customWidth="1"/>
    <col min="4874" max="4874" width="19.140625" style="3" customWidth="1"/>
    <col min="4875" max="4877" width="8.85546875" style="3"/>
    <col min="4878" max="4878" width="11.42578125" style="3" customWidth="1"/>
    <col min="4879" max="4883" width="8.85546875" style="3"/>
    <col min="4884" max="4884" width="10.28515625" style="3" customWidth="1"/>
    <col min="4885" max="4886" width="8.85546875" style="3"/>
    <col min="4887" max="4888" width="0" style="3" hidden="1" customWidth="1"/>
    <col min="4889" max="4895" width="8.85546875" style="3"/>
    <col min="4896" max="4896" width="7.5703125" style="3" customWidth="1"/>
    <col min="4897" max="4899" width="8.85546875" style="3"/>
    <col min="4900" max="4900" width="10.85546875" style="3" customWidth="1"/>
    <col min="4901" max="4901" width="13.42578125" style="3" customWidth="1"/>
    <col min="4902" max="5127" width="8.85546875" style="3"/>
    <col min="5128" max="5128" width="5.140625" style="3" customWidth="1"/>
    <col min="5129" max="5129" width="24.85546875" style="3" customWidth="1"/>
    <col min="5130" max="5130" width="19.140625" style="3" customWidth="1"/>
    <col min="5131" max="5133" width="8.85546875" style="3"/>
    <col min="5134" max="5134" width="11.42578125" style="3" customWidth="1"/>
    <col min="5135" max="5139" width="8.85546875" style="3"/>
    <col min="5140" max="5140" width="10.28515625" style="3" customWidth="1"/>
    <col min="5141" max="5142" width="8.85546875" style="3"/>
    <col min="5143" max="5144" width="0" style="3" hidden="1" customWidth="1"/>
    <col min="5145" max="5151" width="8.85546875" style="3"/>
    <col min="5152" max="5152" width="7.5703125" style="3" customWidth="1"/>
    <col min="5153" max="5155" width="8.85546875" style="3"/>
    <col min="5156" max="5156" width="10.85546875" style="3" customWidth="1"/>
    <col min="5157" max="5157" width="13.42578125" style="3" customWidth="1"/>
    <col min="5158" max="5383" width="8.85546875" style="3"/>
    <col min="5384" max="5384" width="5.140625" style="3" customWidth="1"/>
    <col min="5385" max="5385" width="24.85546875" style="3" customWidth="1"/>
    <col min="5386" max="5386" width="19.140625" style="3" customWidth="1"/>
    <col min="5387" max="5389" width="8.85546875" style="3"/>
    <col min="5390" max="5390" width="11.42578125" style="3" customWidth="1"/>
    <col min="5391" max="5395" width="8.85546875" style="3"/>
    <col min="5396" max="5396" width="10.28515625" style="3" customWidth="1"/>
    <col min="5397" max="5398" width="8.85546875" style="3"/>
    <col min="5399" max="5400" width="0" style="3" hidden="1" customWidth="1"/>
    <col min="5401" max="5407" width="8.85546875" style="3"/>
    <col min="5408" max="5408" width="7.5703125" style="3" customWidth="1"/>
    <col min="5409" max="5411" width="8.85546875" style="3"/>
    <col min="5412" max="5412" width="10.85546875" style="3" customWidth="1"/>
    <col min="5413" max="5413" width="13.42578125" style="3" customWidth="1"/>
    <col min="5414" max="5639" width="8.85546875" style="3"/>
    <col min="5640" max="5640" width="5.140625" style="3" customWidth="1"/>
    <col min="5641" max="5641" width="24.85546875" style="3" customWidth="1"/>
    <col min="5642" max="5642" width="19.140625" style="3" customWidth="1"/>
    <col min="5643" max="5645" width="8.85546875" style="3"/>
    <col min="5646" max="5646" width="11.42578125" style="3" customWidth="1"/>
    <col min="5647" max="5651" width="8.85546875" style="3"/>
    <col min="5652" max="5652" width="10.28515625" style="3" customWidth="1"/>
    <col min="5653" max="5654" width="8.85546875" style="3"/>
    <col min="5655" max="5656" width="0" style="3" hidden="1" customWidth="1"/>
    <col min="5657" max="5663" width="8.85546875" style="3"/>
    <col min="5664" max="5664" width="7.5703125" style="3" customWidth="1"/>
    <col min="5665" max="5667" width="8.85546875" style="3"/>
    <col min="5668" max="5668" width="10.85546875" style="3" customWidth="1"/>
    <col min="5669" max="5669" width="13.42578125" style="3" customWidth="1"/>
    <col min="5670" max="5895" width="8.85546875" style="3"/>
    <col min="5896" max="5896" width="5.140625" style="3" customWidth="1"/>
    <col min="5897" max="5897" width="24.85546875" style="3" customWidth="1"/>
    <col min="5898" max="5898" width="19.140625" style="3" customWidth="1"/>
    <col min="5899" max="5901" width="8.85546875" style="3"/>
    <col min="5902" max="5902" width="11.42578125" style="3" customWidth="1"/>
    <col min="5903" max="5907" width="8.85546875" style="3"/>
    <col min="5908" max="5908" width="10.28515625" style="3" customWidth="1"/>
    <col min="5909" max="5910" width="8.85546875" style="3"/>
    <col min="5911" max="5912" width="0" style="3" hidden="1" customWidth="1"/>
    <col min="5913" max="5919" width="8.85546875" style="3"/>
    <col min="5920" max="5920" width="7.5703125" style="3" customWidth="1"/>
    <col min="5921" max="5923" width="8.85546875" style="3"/>
    <col min="5924" max="5924" width="10.85546875" style="3" customWidth="1"/>
    <col min="5925" max="5925" width="13.42578125" style="3" customWidth="1"/>
    <col min="5926" max="6151" width="8.85546875" style="3"/>
    <col min="6152" max="6152" width="5.140625" style="3" customWidth="1"/>
    <col min="6153" max="6153" width="24.85546875" style="3" customWidth="1"/>
    <col min="6154" max="6154" width="19.140625" style="3" customWidth="1"/>
    <col min="6155" max="6157" width="8.85546875" style="3"/>
    <col min="6158" max="6158" width="11.42578125" style="3" customWidth="1"/>
    <col min="6159" max="6163" width="8.85546875" style="3"/>
    <col min="6164" max="6164" width="10.28515625" style="3" customWidth="1"/>
    <col min="6165" max="6166" width="8.85546875" style="3"/>
    <col min="6167" max="6168" width="0" style="3" hidden="1" customWidth="1"/>
    <col min="6169" max="6175" width="8.85546875" style="3"/>
    <col min="6176" max="6176" width="7.5703125" style="3" customWidth="1"/>
    <col min="6177" max="6179" width="8.85546875" style="3"/>
    <col min="6180" max="6180" width="10.85546875" style="3" customWidth="1"/>
    <col min="6181" max="6181" width="13.42578125" style="3" customWidth="1"/>
    <col min="6182" max="6407" width="8.85546875" style="3"/>
    <col min="6408" max="6408" width="5.140625" style="3" customWidth="1"/>
    <col min="6409" max="6409" width="24.85546875" style="3" customWidth="1"/>
    <col min="6410" max="6410" width="19.140625" style="3" customWidth="1"/>
    <col min="6411" max="6413" width="8.85546875" style="3"/>
    <col min="6414" max="6414" width="11.42578125" style="3" customWidth="1"/>
    <col min="6415" max="6419" width="8.85546875" style="3"/>
    <col min="6420" max="6420" width="10.28515625" style="3" customWidth="1"/>
    <col min="6421" max="6422" width="8.85546875" style="3"/>
    <col min="6423" max="6424" width="0" style="3" hidden="1" customWidth="1"/>
    <col min="6425" max="6431" width="8.85546875" style="3"/>
    <col min="6432" max="6432" width="7.5703125" style="3" customWidth="1"/>
    <col min="6433" max="6435" width="8.85546875" style="3"/>
    <col min="6436" max="6436" width="10.85546875" style="3" customWidth="1"/>
    <col min="6437" max="6437" width="13.42578125" style="3" customWidth="1"/>
    <col min="6438" max="6663" width="8.85546875" style="3"/>
    <col min="6664" max="6664" width="5.140625" style="3" customWidth="1"/>
    <col min="6665" max="6665" width="24.85546875" style="3" customWidth="1"/>
    <col min="6666" max="6666" width="19.140625" style="3" customWidth="1"/>
    <col min="6667" max="6669" width="8.85546875" style="3"/>
    <col min="6670" max="6670" width="11.42578125" style="3" customWidth="1"/>
    <col min="6671" max="6675" width="8.85546875" style="3"/>
    <col min="6676" max="6676" width="10.28515625" style="3" customWidth="1"/>
    <col min="6677" max="6678" width="8.85546875" style="3"/>
    <col min="6679" max="6680" width="0" style="3" hidden="1" customWidth="1"/>
    <col min="6681" max="6687" width="8.85546875" style="3"/>
    <col min="6688" max="6688" width="7.5703125" style="3" customWidth="1"/>
    <col min="6689" max="6691" width="8.85546875" style="3"/>
    <col min="6692" max="6692" width="10.85546875" style="3" customWidth="1"/>
    <col min="6693" max="6693" width="13.42578125" style="3" customWidth="1"/>
    <col min="6694" max="6919" width="8.85546875" style="3"/>
    <col min="6920" max="6920" width="5.140625" style="3" customWidth="1"/>
    <col min="6921" max="6921" width="24.85546875" style="3" customWidth="1"/>
    <col min="6922" max="6922" width="19.140625" style="3" customWidth="1"/>
    <col min="6923" max="6925" width="8.85546875" style="3"/>
    <col min="6926" max="6926" width="11.42578125" style="3" customWidth="1"/>
    <col min="6927" max="6931" width="8.85546875" style="3"/>
    <col min="6932" max="6932" width="10.28515625" style="3" customWidth="1"/>
    <col min="6933" max="6934" width="8.85546875" style="3"/>
    <col min="6935" max="6936" width="0" style="3" hidden="1" customWidth="1"/>
    <col min="6937" max="6943" width="8.85546875" style="3"/>
    <col min="6944" max="6944" width="7.5703125" style="3" customWidth="1"/>
    <col min="6945" max="6947" width="8.85546875" style="3"/>
    <col min="6948" max="6948" width="10.85546875" style="3" customWidth="1"/>
    <col min="6949" max="6949" width="13.42578125" style="3" customWidth="1"/>
    <col min="6950" max="7175" width="8.85546875" style="3"/>
    <col min="7176" max="7176" width="5.140625" style="3" customWidth="1"/>
    <col min="7177" max="7177" width="24.85546875" style="3" customWidth="1"/>
    <col min="7178" max="7178" width="19.140625" style="3" customWidth="1"/>
    <col min="7179" max="7181" width="8.85546875" style="3"/>
    <col min="7182" max="7182" width="11.42578125" style="3" customWidth="1"/>
    <col min="7183" max="7187" width="8.85546875" style="3"/>
    <col min="7188" max="7188" width="10.28515625" style="3" customWidth="1"/>
    <col min="7189" max="7190" width="8.85546875" style="3"/>
    <col min="7191" max="7192" width="0" style="3" hidden="1" customWidth="1"/>
    <col min="7193" max="7199" width="8.85546875" style="3"/>
    <col min="7200" max="7200" width="7.5703125" style="3" customWidth="1"/>
    <col min="7201" max="7203" width="8.85546875" style="3"/>
    <col min="7204" max="7204" width="10.85546875" style="3" customWidth="1"/>
    <col min="7205" max="7205" width="13.42578125" style="3" customWidth="1"/>
    <col min="7206" max="7431" width="8.85546875" style="3"/>
    <col min="7432" max="7432" width="5.140625" style="3" customWidth="1"/>
    <col min="7433" max="7433" width="24.85546875" style="3" customWidth="1"/>
    <col min="7434" max="7434" width="19.140625" style="3" customWidth="1"/>
    <col min="7435" max="7437" width="8.85546875" style="3"/>
    <col min="7438" max="7438" width="11.42578125" style="3" customWidth="1"/>
    <col min="7439" max="7443" width="8.85546875" style="3"/>
    <col min="7444" max="7444" width="10.28515625" style="3" customWidth="1"/>
    <col min="7445" max="7446" width="8.85546875" style="3"/>
    <col min="7447" max="7448" width="0" style="3" hidden="1" customWidth="1"/>
    <col min="7449" max="7455" width="8.85546875" style="3"/>
    <col min="7456" max="7456" width="7.5703125" style="3" customWidth="1"/>
    <col min="7457" max="7459" width="8.85546875" style="3"/>
    <col min="7460" max="7460" width="10.85546875" style="3" customWidth="1"/>
    <col min="7461" max="7461" width="13.42578125" style="3" customWidth="1"/>
    <col min="7462" max="7687" width="8.85546875" style="3"/>
    <col min="7688" max="7688" width="5.140625" style="3" customWidth="1"/>
    <col min="7689" max="7689" width="24.85546875" style="3" customWidth="1"/>
    <col min="7690" max="7690" width="19.140625" style="3" customWidth="1"/>
    <col min="7691" max="7693" width="8.85546875" style="3"/>
    <col min="7694" max="7694" width="11.42578125" style="3" customWidth="1"/>
    <col min="7695" max="7699" width="8.85546875" style="3"/>
    <col min="7700" max="7700" width="10.28515625" style="3" customWidth="1"/>
    <col min="7701" max="7702" width="8.85546875" style="3"/>
    <col min="7703" max="7704" width="0" style="3" hidden="1" customWidth="1"/>
    <col min="7705" max="7711" width="8.85546875" style="3"/>
    <col min="7712" max="7712" width="7.5703125" style="3" customWidth="1"/>
    <col min="7713" max="7715" width="8.85546875" style="3"/>
    <col min="7716" max="7716" width="10.85546875" style="3" customWidth="1"/>
    <col min="7717" max="7717" width="13.42578125" style="3" customWidth="1"/>
    <col min="7718" max="7943" width="8.85546875" style="3"/>
    <col min="7944" max="7944" width="5.140625" style="3" customWidth="1"/>
    <col min="7945" max="7945" width="24.85546875" style="3" customWidth="1"/>
    <col min="7946" max="7946" width="19.140625" style="3" customWidth="1"/>
    <col min="7947" max="7949" width="8.85546875" style="3"/>
    <col min="7950" max="7950" width="11.42578125" style="3" customWidth="1"/>
    <col min="7951" max="7955" width="8.85546875" style="3"/>
    <col min="7956" max="7956" width="10.28515625" style="3" customWidth="1"/>
    <col min="7957" max="7958" width="8.85546875" style="3"/>
    <col min="7959" max="7960" width="0" style="3" hidden="1" customWidth="1"/>
    <col min="7961" max="7967" width="8.85546875" style="3"/>
    <col min="7968" max="7968" width="7.5703125" style="3" customWidth="1"/>
    <col min="7969" max="7971" width="8.85546875" style="3"/>
    <col min="7972" max="7972" width="10.85546875" style="3" customWidth="1"/>
    <col min="7973" max="7973" width="13.42578125" style="3" customWidth="1"/>
    <col min="7974" max="8199" width="8.85546875" style="3"/>
    <col min="8200" max="8200" width="5.140625" style="3" customWidth="1"/>
    <col min="8201" max="8201" width="24.85546875" style="3" customWidth="1"/>
    <col min="8202" max="8202" width="19.140625" style="3" customWidth="1"/>
    <col min="8203" max="8205" width="8.85546875" style="3"/>
    <col min="8206" max="8206" width="11.42578125" style="3" customWidth="1"/>
    <col min="8207" max="8211" width="8.85546875" style="3"/>
    <col min="8212" max="8212" width="10.28515625" style="3" customWidth="1"/>
    <col min="8213" max="8214" width="8.85546875" style="3"/>
    <col min="8215" max="8216" width="0" style="3" hidden="1" customWidth="1"/>
    <col min="8217" max="8223" width="8.85546875" style="3"/>
    <col min="8224" max="8224" width="7.5703125" style="3" customWidth="1"/>
    <col min="8225" max="8227" width="8.85546875" style="3"/>
    <col min="8228" max="8228" width="10.85546875" style="3" customWidth="1"/>
    <col min="8229" max="8229" width="13.42578125" style="3" customWidth="1"/>
    <col min="8230" max="8455" width="8.85546875" style="3"/>
    <col min="8456" max="8456" width="5.140625" style="3" customWidth="1"/>
    <col min="8457" max="8457" width="24.85546875" style="3" customWidth="1"/>
    <col min="8458" max="8458" width="19.140625" style="3" customWidth="1"/>
    <col min="8459" max="8461" width="8.85546875" style="3"/>
    <col min="8462" max="8462" width="11.42578125" style="3" customWidth="1"/>
    <col min="8463" max="8467" width="8.85546875" style="3"/>
    <col min="8468" max="8468" width="10.28515625" style="3" customWidth="1"/>
    <col min="8469" max="8470" width="8.85546875" style="3"/>
    <col min="8471" max="8472" width="0" style="3" hidden="1" customWidth="1"/>
    <col min="8473" max="8479" width="8.85546875" style="3"/>
    <col min="8480" max="8480" width="7.5703125" style="3" customWidth="1"/>
    <col min="8481" max="8483" width="8.85546875" style="3"/>
    <col min="8484" max="8484" width="10.85546875" style="3" customWidth="1"/>
    <col min="8485" max="8485" width="13.42578125" style="3" customWidth="1"/>
    <col min="8486" max="8711" width="8.85546875" style="3"/>
    <col min="8712" max="8712" width="5.140625" style="3" customWidth="1"/>
    <col min="8713" max="8713" width="24.85546875" style="3" customWidth="1"/>
    <col min="8714" max="8714" width="19.140625" style="3" customWidth="1"/>
    <col min="8715" max="8717" width="8.85546875" style="3"/>
    <col min="8718" max="8718" width="11.42578125" style="3" customWidth="1"/>
    <col min="8719" max="8723" width="8.85546875" style="3"/>
    <col min="8724" max="8724" width="10.28515625" style="3" customWidth="1"/>
    <col min="8725" max="8726" width="8.85546875" style="3"/>
    <col min="8727" max="8728" width="0" style="3" hidden="1" customWidth="1"/>
    <col min="8729" max="8735" width="8.85546875" style="3"/>
    <col min="8736" max="8736" width="7.5703125" style="3" customWidth="1"/>
    <col min="8737" max="8739" width="8.85546875" style="3"/>
    <col min="8740" max="8740" width="10.85546875" style="3" customWidth="1"/>
    <col min="8741" max="8741" width="13.42578125" style="3" customWidth="1"/>
    <col min="8742" max="8967" width="8.85546875" style="3"/>
    <col min="8968" max="8968" width="5.140625" style="3" customWidth="1"/>
    <col min="8969" max="8969" width="24.85546875" style="3" customWidth="1"/>
    <col min="8970" max="8970" width="19.140625" style="3" customWidth="1"/>
    <col min="8971" max="8973" width="8.85546875" style="3"/>
    <col min="8974" max="8974" width="11.42578125" style="3" customWidth="1"/>
    <col min="8975" max="8979" width="8.85546875" style="3"/>
    <col min="8980" max="8980" width="10.28515625" style="3" customWidth="1"/>
    <col min="8981" max="8982" width="8.85546875" style="3"/>
    <col min="8983" max="8984" width="0" style="3" hidden="1" customWidth="1"/>
    <col min="8985" max="8991" width="8.85546875" style="3"/>
    <col min="8992" max="8992" width="7.5703125" style="3" customWidth="1"/>
    <col min="8993" max="8995" width="8.85546875" style="3"/>
    <col min="8996" max="8996" width="10.85546875" style="3" customWidth="1"/>
    <col min="8997" max="8997" width="13.42578125" style="3" customWidth="1"/>
    <col min="8998" max="9223" width="8.85546875" style="3"/>
    <col min="9224" max="9224" width="5.140625" style="3" customWidth="1"/>
    <col min="9225" max="9225" width="24.85546875" style="3" customWidth="1"/>
    <col min="9226" max="9226" width="19.140625" style="3" customWidth="1"/>
    <col min="9227" max="9229" width="8.85546875" style="3"/>
    <col min="9230" max="9230" width="11.42578125" style="3" customWidth="1"/>
    <col min="9231" max="9235" width="8.85546875" style="3"/>
    <col min="9236" max="9236" width="10.28515625" style="3" customWidth="1"/>
    <col min="9237" max="9238" width="8.85546875" style="3"/>
    <col min="9239" max="9240" width="0" style="3" hidden="1" customWidth="1"/>
    <col min="9241" max="9247" width="8.85546875" style="3"/>
    <col min="9248" max="9248" width="7.5703125" style="3" customWidth="1"/>
    <col min="9249" max="9251" width="8.85546875" style="3"/>
    <col min="9252" max="9252" width="10.85546875" style="3" customWidth="1"/>
    <col min="9253" max="9253" width="13.42578125" style="3" customWidth="1"/>
    <col min="9254" max="9479" width="8.85546875" style="3"/>
    <col min="9480" max="9480" width="5.140625" style="3" customWidth="1"/>
    <col min="9481" max="9481" width="24.85546875" style="3" customWidth="1"/>
    <col min="9482" max="9482" width="19.140625" style="3" customWidth="1"/>
    <col min="9483" max="9485" width="8.85546875" style="3"/>
    <col min="9486" max="9486" width="11.42578125" style="3" customWidth="1"/>
    <col min="9487" max="9491" width="8.85546875" style="3"/>
    <col min="9492" max="9492" width="10.28515625" style="3" customWidth="1"/>
    <col min="9493" max="9494" width="8.85546875" style="3"/>
    <col min="9495" max="9496" width="0" style="3" hidden="1" customWidth="1"/>
    <col min="9497" max="9503" width="8.85546875" style="3"/>
    <col min="9504" max="9504" width="7.5703125" style="3" customWidth="1"/>
    <col min="9505" max="9507" width="8.85546875" style="3"/>
    <col min="9508" max="9508" width="10.85546875" style="3" customWidth="1"/>
    <col min="9509" max="9509" width="13.42578125" style="3" customWidth="1"/>
    <col min="9510" max="9735" width="8.85546875" style="3"/>
    <col min="9736" max="9736" width="5.140625" style="3" customWidth="1"/>
    <col min="9737" max="9737" width="24.85546875" style="3" customWidth="1"/>
    <col min="9738" max="9738" width="19.140625" style="3" customWidth="1"/>
    <col min="9739" max="9741" width="8.85546875" style="3"/>
    <col min="9742" max="9742" width="11.42578125" style="3" customWidth="1"/>
    <col min="9743" max="9747" width="8.85546875" style="3"/>
    <col min="9748" max="9748" width="10.28515625" style="3" customWidth="1"/>
    <col min="9749" max="9750" width="8.85546875" style="3"/>
    <col min="9751" max="9752" width="0" style="3" hidden="1" customWidth="1"/>
    <col min="9753" max="9759" width="8.85546875" style="3"/>
    <col min="9760" max="9760" width="7.5703125" style="3" customWidth="1"/>
    <col min="9761" max="9763" width="8.85546875" style="3"/>
    <col min="9764" max="9764" width="10.85546875" style="3" customWidth="1"/>
    <col min="9765" max="9765" width="13.42578125" style="3" customWidth="1"/>
    <col min="9766" max="9991" width="8.85546875" style="3"/>
    <col min="9992" max="9992" width="5.140625" style="3" customWidth="1"/>
    <col min="9993" max="9993" width="24.85546875" style="3" customWidth="1"/>
    <col min="9994" max="9994" width="19.140625" style="3" customWidth="1"/>
    <col min="9995" max="9997" width="8.85546875" style="3"/>
    <col min="9998" max="9998" width="11.42578125" style="3" customWidth="1"/>
    <col min="9999" max="10003" width="8.85546875" style="3"/>
    <col min="10004" max="10004" width="10.28515625" style="3" customWidth="1"/>
    <col min="10005" max="10006" width="8.85546875" style="3"/>
    <col min="10007" max="10008" width="0" style="3" hidden="1" customWidth="1"/>
    <col min="10009" max="10015" width="8.85546875" style="3"/>
    <col min="10016" max="10016" width="7.5703125" style="3" customWidth="1"/>
    <col min="10017" max="10019" width="8.85546875" style="3"/>
    <col min="10020" max="10020" width="10.85546875" style="3" customWidth="1"/>
    <col min="10021" max="10021" width="13.42578125" style="3" customWidth="1"/>
    <col min="10022" max="10247" width="8.85546875" style="3"/>
    <col min="10248" max="10248" width="5.140625" style="3" customWidth="1"/>
    <col min="10249" max="10249" width="24.85546875" style="3" customWidth="1"/>
    <col min="10250" max="10250" width="19.140625" style="3" customWidth="1"/>
    <col min="10251" max="10253" width="8.85546875" style="3"/>
    <col min="10254" max="10254" width="11.42578125" style="3" customWidth="1"/>
    <col min="10255" max="10259" width="8.85546875" style="3"/>
    <col min="10260" max="10260" width="10.28515625" style="3" customWidth="1"/>
    <col min="10261" max="10262" width="8.85546875" style="3"/>
    <col min="10263" max="10264" width="0" style="3" hidden="1" customWidth="1"/>
    <col min="10265" max="10271" width="8.85546875" style="3"/>
    <col min="10272" max="10272" width="7.5703125" style="3" customWidth="1"/>
    <col min="10273" max="10275" width="8.85546875" style="3"/>
    <col min="10276" max="10276" width="10.85546875" style="3" customWidth="1"/>
    <col min="10277" max="10277" width="13.42578125" style="3" customWidth="1"/>
    <col min="10278" max="10503" width="8.85546875" style="3"/>
    <col min="10504" max="10504" width="5.140625" style="3" customWidth="1"/>
    <col min="10505" max="10505" width="24.85546875" style="3" customWidth="1"/>
    <col min="10506" max="10506" width="19.140625" style="3" customWidth="1"/>
    <col min="10507" max="10509" width="8.85546875" style="3"/>
    <col min="10510" max="10510" width="11.42578125" style="3" customWidth="1"/>
    <col min="10511" max="10515" width="8.85546875" style="3"/>
    <col min="10516" max="10516" width="10.28515625" style="3" customWidth="1"/>
    <col min="10517" max="10518" width="8.85546875" style="3"/>
    <col min="10519" max="10520" width="0" style="3" hidden="1" customWidth="1"/>
    <col min="10521" max="10527" width="8.85546875" style="3"/>
    <col min="10528" max="10528" width="7.5703125" style="3" customWidth="1"/>
    <col min="10529" max="10531" width="8.85546875" style="3"/>
    <col min="10532" max="10532" width="10.85546875" style="3" customWidth="1"/>
    <col min="10533" max="10533" width="13.42578125" style="3" customWidth="1"/>
    <col min="10534" max="10759" width="8.85546875" style="3"/>
    <col min="10760" max="10760" width="5.140625" style="3" customWidth="1"/>
    <col min="10761" max="10761" width="24.85546875" style="3" customWidth="1"/>
    <col min="10762" max="10762" width="19.140625" style="3" customWidth="1"/>
    <col min="10763" max="10765" width="8.85546875" style="3"/>
    <col min="10766" max="10766" width="11.42578125" style="3" customWidth="1"/>
    <col min="10767" max="10771" width="8.85546875" style="3"/>
    <col min="10772" max="10772" width="10.28515625" style="3" customWidth="1"/>
    <col min="10773" max="10774" width="8.85546875" style="3"/>
    <col min="10775" max="10776" width="0" style="3" hidden="1" customWidth="1"/>
    <col min="10777" max="10783" width="8.85546875" style="3"/>
    <col min="10784" max="10784" width="7.5703125" style="3" customWidth="1"/>
    <col min="10785" max="10787" width="8.85546875" style="3"/>
    <col min="10788" max="10788" width="10.85546875" style="3" customWidth="1"/>
    <col min="10789" max="10789" width="13.42578125" style="3" customWidth="1"/>
    <col min="10790" max="11015" width="8.85546875" style="3"/>
    <col min="11016" max="11016" width="5.140625" style="3" customWidth="1"/>
    <col min="11017" max="11017" width="24.85546875" style="3" customWidth="1"/>
    <col min="11018" max="11018" width="19.140625" style="3" customWidth="1"/>
    <col min="11019" max="11021" width="8.85546875" style="3"/>
    <col min="11022" max="11022" width="11.42578125" style="3" customWidth="1"/>
    <col min="11023" max="11027" width="8.85546875" style="3"/>
    <col min="11028" max="11028" width="10.28515625" style="3" customWidth="1"/>
    <col min="11029" max="11030" width="8.85546875" style="3"/>
    <col min="11031" max="11032" width="0" style="3" hidden="1" customWidth="1"/>
    <col min="11033" max="11039" width="8.85546875" style="3"/>
    <col min="11040" max="11040" width="7.5703125" style="3" customWidth="1"/>
    <col min="11041" max="11043" width="8.85546875" style="3"/>
    <col min="11044" max="11044" width="10.85546875" style="3" customWidth="1"/>
    <col min="11045" max="11045" width="13.42578125" style="3" customWidth="1"/>
    <col min="11046" max="11271" width="8.85546875" style="3"/>
    <col min="11272" max="11272" width="5.140625" style="3" customWidth="1"/>
    <col min="11273" max="11273" width="24.85546875" style="3" customWidth="1"/>
    <col min="11274" max="11274" width="19.140625" style="3" customWidth="1"/>
    <col min="11275" max="11277" width="8.85546875" style="3"/>
    <col min="11278" max="11278" width="11.42578125" style="3" customWidth="1"/>
    <col min="11279" max="11283" width="8.85546875" style="3"/>
    <col min="11284" max="11284" width="10.28515625" style="3" customWidth="1"/>
    <col min="11285" max="11286" width="8.85546875" style="3"/>
    <col min="11287" max="11288" width="0" style="3" hidden="1" customWidth="1"/>
    <col min="11289" max="11295" width="8.85546875" style="3"/>
    <col min="11296" max="11296" width="7.5703125" style="3" customWidth="1"/>
    <col min="11297" max="11299" width="8.85546875" style="3"/>
    <col min="11300" max="11300" width="10.85546875" style="3" customWidth="1"/>
    <col min="11301" max="11301" width="13.42578125" style="3" customWidth="1"/>
    <col min="11302" max="11527" width="8.85546875" style="3"/>
    <col min="11528" max="11528" width="5.140625" style="3" customWidth="1"/>
    <col min="11529" max="11529" width="24.85546875" style="3" customWidth="1"/>
    <col min="11530" max="11530" width="19.140625" style="3" customWidth="1"/>
    <col min="11531" max="11533" width="8.85546875" style="3"/>
    <col min="11534" max="11534" width="11.42578125" style="3" customWidth="1"/>
    <col min="11535" max="11539" width="8.85546875" style="3"/>
    <col min="11540" max="11540" width="10.28515625" style="3" customWidth="1"/>
    <col min="11541" max="11542" width="8.85546875" style="3"/>
    <col min="11543" max="11544" width="0" style="3" hidden="1" customWidth="1"/>
    <col min="11545" max="11551" width="8.85546875" style="3"/>
    <col min="11552" max="11552" width="7.5703125" style="3" customWidth="1"/>
    <col min="11553" max="11555" width="8.85546875" style="3"/>
    <col min="11556" max="11556" width="10.85546875" style="3" customWidth="1"/>
    <col min="11557" max="11557" width="13.42578125" style="3" customWidth="1"/>
    <col min="11558" max="11783" width="8.85546875" style="3"/>
    <col min="11784" max="11784" width="5.140625" style="3" customWidth="1"/>
    <col min="11785" max="11785" width="24.85546875" style="3" customWidth="1"/>
    <col min="11786" max="11786" width="19.140625" style="3" customWidth="1"/>
    <col min="11787" max="11789" width="8.85546875" style="3"/>
    <col min="11790" max="11790" width="11.42578125" style="3" customWidth="1"/>
    <col min="11791" max="11795" width="8.85546875" style="3"/>
    <col min="11796" max="11796" width="10.28515625" style="3" customWidth="1"/>
    <col min="11797" max="11798" width="8.85546875" style="3"/>
    <col min="11799" max="11800" width="0" style="3" hidden="1" customWidth="1"/>
    <col min="11801" max="11807" width="8.85546875" style="3"/>
    <col min="11808" max="11808" width="7.5703125" style="3" customWidth="1"/>
    <col min="11809" max="11811" width="8.85546875" style="3"/>
    <col min="11812" max="11812" width="10.85546875" style="3" customWidth="1"/>
    <col min="11813" max="11813" width="13.42578125" style="3" customWidth="1"/>
    <col min="11814" max="12039" width="8.85546875" style="3"/>
    <col min="12040" max="12040" width="5.140625" style="3" customWidth="1"/>
    <col min="12041" max="12041" width="24.85546875" style="3" customWidth="1"/>
    <col min="12042" max="12042" width="19.140625" style="3" customWidth="1"/>
    <col min="12043" max="12045" width="8.85546875" style="3"/>
    <col min="12046" max="12046" width="11.42578125" style="3" customWidth="1"/>
    <col min="12047" max="12051" width="8.85546875" style="3"/>
    <col min="12052" max="12052" width="10.28515625" style="3" customWidth="1"/>
    <col min="12053" max="12054" width="8.85546875" style="3"/>
    <col min="12055" max="12056" width="0" style="3" hidden="1" customWidth="1"/>
    <col min="12057" max="12063" width="8.85546875" style="3"/>
    <col min="12064" max="12064" width="7.5703125" style="3" customWidth="1"/>
    <col min="12065" max="12067" width="8.85546875" style="3"/>
    <col min="12068" max="12068" width="10.85546875" style="3" customWidth="1"/>
    <col min="12069" max="12069" width="13.42578125" style="3" customWidth="1"/>
    <col min="12070" max="12295" width="8.85546875" style="3"/>
    <col min="12296" max="12296" width="5.140625" style="3" customWidth="1"/>
    <col min="12297" max="12297" width="24.85546875" style="3" customWidth="1"/>
    <col min="12298" max="12298" width="19.140625" style="3" customWidth="1"/>
    <col min="12299" max="12301" width="8.85546875" style="3"/>
    <col min="12302" max="12302" width="11.42578125" style="3" customWidth="1"/>
    <col min="12303" max="12307" width="8.85546875" style="3"/>
    <col min="12308" max="12308" width="10.28515625" style="3" customWidth="1"/>
    <col min="12309" max="12310" width="8.85546875" style="3"/>
    <col min="12311" max="12312" width="0" style="3" hidden="1" customWidth="1"/>
    <col min="12313" max="12319" width="8.85546875" style="3"/>
    <col min="12320" max="12320" width="7.5703125" style="3" customWidth="1"/>
    <col min="12321" max="12323" width="8.85546875" style="3"/>
    <col min="12324" max="12324" width="10.85546875" style="3" customWidth="1"/>
    <col min="12325" max="12325" width="13.42578125" style="3" customWidth="1"/>
    <col min="12326" max="12551" width="8.85546875" style="3"/>
    <col min="12552" max="12552" width="5.140625" style="3" customWidth="1"/>
    <col min="12553" max="12553" width="24.85546875" style="3" customWidth="1"/>
    <col min="12554" max="12554" width="19.140625" style="3" customWidth="1"/>
    <col min="12555" max="12557" width="8.85546875" style="3"/>
    <col min="12558" max="12558" width="11.42578125" style="3" customWidth="1"/>
    <col min="12559" max="12563" width="8.85546875" style="3"/>
    <col min="12564" max="12564" width="10.28515625" style="3" customWidth="1"/>
    <col min="12565" max="12566" width="8.85546875" style="3"/>
    <col min="12567" max="12568" width="0" style="3" hidden="1" customWidth="1"/>
    <col min="12569" max="12575" width="8.85546875" style="3"/>
    <col min="12576" max="12576" width="7.5703125" style="3" customWidth="1"/>
    <col min="12577" max="12579" width="8.85546875" style="3"/>
    <col min="12580" max="12580" width="10.85546875" style="3" customWidth="1"/>
    <col min="12581" max="12581" width="13.42578125" style="3" customWidth="1"/>
    <col min="12582" max="12807" width="8.85546875" style="3"/>
    <col min="12808" max="12808" width="5.140625" style="3" customWidth="1"/>
    <col min="12809" max="12809" width="24.85546875" style="3" customWidth="1"/>
    <col min="12810" max="12810" width="19.140625" style="3" customWidth="1"/>
    <col min="12811" max="12813" width="8.85546875" style="3"/>
    <col min="12814" max="12814" width="11.42578125" style="3" customWidth="1"/>
    <col min="12815" max="12819" width="8.85546875" style="3"/>
    <col min="12820" max="12820" width="10.28515625" style="3" customWidth="1"/>
    <col min="12821" max="12822" width="8.85546875" style="3"/>
    <col min="12823" max="12824" width="0" style="3" hidden="1" customWidth="1"/>
    <col min="12825" max="12831" width="8.85546875" style="3"/>
    <col min="12832" max="12832" width="7.5703125" style="3" customWidth="1"/>
    <col min="12833" max="12835" width="8.85546875" style="3"/>
    <col min="12836" max="12836" width="10.85546875" style="3" customWidth="1"/>
    <col min="12837" max="12837" width="13.42578125" style="3" customWidth="1"/>
    <col min="12838" max="13063" width="8.85546875" style="3"/>
    <col min="13064" max="13064" width="5.140625" style="3" customWidth="1"/>
    <col min="13065" max="13065" width="24.85546875" style="3" customWidth="1"/>
    <col min="13066" max="13066" width="19.140625" style="3" customWidth="1"/>
    <col min="13067" max="13069" width="8.85546875" style="3"/>
    <col min="13070" max="13070" width="11.42578125" style="3" customWidth="1"/>
    <col min="13071" max="13075" width="8.85546875" style="3"/>
    <col min="13076" max="13076" width="10.28515625" style="3" customWidth="1"/>
    <col min="13077" max="13078" width="8.85546875" style="3"/>
    <col min="13079" max="13080" width="0" style="3" hidden="1" customWidth="1"/>
    <col min="13081" max="13087" width="8.85546875" style="3"/>
    <col min="13088" max="13088" width="7.5703125" style="3" customWidth="1"/>
    <col min="13089" max="13091" width="8.85546875" style="3"/>
    <col min="13092" max="13092" width="10.85546875" style="3" customWidth="1"/>
    <col min="13093" max="13093" width="13.42578125" style="3" customWidth="1"/>
    <col min="13094" max="13319" width="8.85546875" style="3"/>
    <col min="13320" max="13320" width="5.140625" style="3" customWidth="1"/>
    <col min="13321" max="13321" width="24.85546875" style="3" customWidth="1"/>
    <col min="13322" max="13322" width="19.140625" style="3" customWidth="1"/>
    <col min="13323" max="13325" width="8.85546875" style="3"/>
    <col min="13326" max="13326" width="11.42578125" style="3" customWidth="1"/>
    <col min="13327" max="13331" width="8.85546875" style="3"/>
    <col min="13332" max="13332" width="10.28515625" style="3" customWidth="1"/>
    <col min="13333" max="13334" width="8.85546875" style="3"/>
    <col min="13335" max="13336" width="0" style="3" hidden="1" customWidth="1"/>
    <col min="13337" max="13343" width="8.85546875" style="3"/>
    <col min="13344" max="13344" width="7.5703125" style="3" customWidth="1"/>
    <col min="13345" max="13347" width="8.85546875" style="3"/>
    <col min="13348" max="13348" width="10.85546875" style="3" customWidth="1"/>
    <col min="13349" max="13349" width="13.42578125" style="3" customWidth="1"/>
    <col min="13350" max="13575" width="8.85546875" style="3"/>
    <col min="13576" max="13576" width="5.140625" style="3" customWidth="1"/>
    <col min="13577" max="13577" width="24.85546875" style="3" customWidth="1"/>
    <col min="13578" max="13578" width="19.140625" style="3" customWidth="1"/>
    <col min="13579" max="13581" width="8.85546875" style="3"/>
    <col min="13582" max="13582" width="11.42578125" style="3" customWidth="1"/>
    <col min="13583" max="13587" width="8.85546875" style="3"/>
    <col min="13588" max="13588" width="10.28515625" style="3" customWidth="1"/>
    <col min="13589" max="13590" width="8.85546875" style="3"/>
    <col min="13591" max="13592" width="0" style="3" hidden="1" customWidth="1"/>
    <col min="13593" max="13599" width="8.85546875" style="3"/>
    <col min="13600" max="13600" width="7.5703125" style="3" customWidth="1"/>
    <col min="13601" max="13603" width="8.85546875" style="3"/>
    <col min="13604" max="13604" width="10.85546875" style="3" customWidth="1"/>
    <col min="13605" max="13605" width="13.42578125" style="3" customWidth="1"/>
    <col min="13606" max="13831" width="8.85546875" style="3"/>
    <col min="13832" max="13832" width="5.140625" style="3" customWidth="1"/>
    <col min="13833" max="13833" width="24.85546875" style="3" customWidth="1"/>
    <col min="13834" max="13834" width="19.140625" style="3" customWidth="1"/>
    <col min="13835" max="13837" width="8.85546875" style="3"/>
    <col min="13838" max="13838" width="11.42578125" style="3" customWidth="1"/>
    <col min="13839" max="13843" width="8.85546875" style="3"/>
    <col min="13844" max="13844" width="10.28515625" style="3" customWidth="1"/>
    <col min="13845" max="13846" width="8.85546875" style="3"/>
    <col min="13847" max="13848" width="0" style="3" hidden="1" customWidth="1"/>
    <col min="13849" max="13855" width="8.85546875" style="3"/>
    <col min="13856" max="13856" width="7.5703125" style="3" customWidth="1"/>
    <col min="13857" max="13859" width="8.85546875" style="3"/>
    <col min="13860" max="13860" width="10.85546875" style="3" customWidth="1"/>
    <col min="13861" max="13861" width="13.42578125" style="3" customWidth="1"/>
    <col min="13862" max="14087" width="8.85546875" style="3"/>
    <col min="14088" max="14088" width="5.140625" style="3" customWidth="1"/>
    <col min="14089" max="14089" width="24.85546875" style="3" customWidth="1"/>
    <col min="14090" max="14090" width="19.140625" style="3" customWidth="1"/>
    <col min="14091" max="14093" width="8.85546875" style="3"/>
    <col min="14094" max="14094" width="11.42578125" style="3" customWidth="1"/>
    <col min="14095" max="14099" width="8.85546875" style="3"/>
    <col min="14100" max="14100" width="10.28515625" style="3" customWidth="1"/>
    <col min="14101" max="14102" width="8.85546875" style="3"/>
    <col min="14103" max="14104" width="0" style="3" hidden="1" customWidth="1"/>
    <col min="14105" max="14111" width="8.85546875" style="3"/>
    <col min="14112" max="14112" width="7.5703125" style="3" customWidth="1"/>
    <col min="14113" max="14115" width="8.85546875" style="3"/>
    <col min="14116" max="14116" width="10.85546875" style="3" customWidth="1"/>
    <col min="14117" max="14117" width="13.42578125" style="3" customWidth="1"/>
    <col min="14118" max="14343" width="8.85546875" style="3"/>
    <col min="14344" max="14344" width="5.140625" style="3" customWidth="1"/>
    <col min="14345" max="14345" width="24.85546875" style="3" customWidth="1"/>
    <col min="14346" max="14346" width="19.140625" style="3" customWidth="1"/>
    <col min="14347" max="14349" width="8.85546875" style="3"/>
    <col min="14350" max="14350" width="11.42578125" style="3" customWidth="1"/>
    <col min="14351" max="14355" width="8.85546875" style="3"/>
    <col min="14356" max="14356" width="10.28515625" style="3" customWidth="1"/>
    <col min="14357" max="14358" width="8.85546875" style="3"/>
    <col min="14359" max="14360" width="0" style="3" hidden="1" customWidth="1"/>
    <col min="14361" max="14367" width="8.85546875" style="3"/>
    <col min="14368" max="14368" width="7.5703125" style="3" customWidth="1"/>
    <col min="14369" max="14371" width="8.85546875" style="3"/>
    <col min="14372" max="14372" width="10.85546875" style="3" customWidth="1"/>
    <col min="14373" max="14373" width="13.42578125" style="3" customWidth="1"/>
    <col min="14374" max="14599" width="8.85546875" style="3"/>
    <col min="14600" max="14600" width="5.140625" style="3" customWidth="1"/>
    <col min="14601" max="14601" width="24.85546875" style="3" customWidth="1"/>
    <col min="14602" max="14602" width="19.140625" style="3" customWidth="1"/>
    <col min="14603" max="14605" width="8.85546875" style="3"/>
    <col min="14606" max="14606" width="11.42578125" style="3" customWidth="1"/>
    <col min="14607" max="14611" width="8.85546875" style="3"/>
    <col min="14612" max="14612" width="10.28515625" style="3" customWidth="1"/>
    <col min="14613" max="14614" width="8.85546875" style="3"/>
    <col min="14615" max="14616" width="0" style="3" hidden="1" customWidth="1"/>
    <col min="14617" max="14623" width="8.85546875" style="3"/>
    <col min="14624" max="14624" width="7.5703125" style="3" customWidth="1"/>
    <col min="14625" max="14627" width="8.85546875" style="3"/>
    <col min="14628" max="14628" width="10.85546875" style="3" customWidth="1"/>
    <col min="14629" max="14629" width="13.42578125" style="3" customWidth="1"/>
    <col min="14630" max="14855" width="8.85546875" style="3"/>
    <col min="14856" max="14856" width="5.140625" style="3" customWidth="1"/>
    <col min="14857" max="14857" width="24.85546875" style="3" customWidth="1"/>
    <col min="14858" max="14858" width="19.140625" style="3" customWidth="1"/>
    <col min="14859" max="14861" width="8.85546875" style="3"/>
    <col min="14862" max="14862" width="11.42578125" style="3" customWidth="1"/>
    <col min="14863" max="14867" width="8.85546875" style="3"/>
    <col min="14868" max="14868" width="10.28515625" style="3" customWidth="1"/>
    <col min="14869" max="14870" width="8.85546875" style="3"/>
    <col min="14871" max="14872" width="0" style="3" hidden="1" customWidth="1"/>
    <col min="14873" max="14879" width="8.85546875" style="3"/>
    <col min="14880" max="14880" width="7.5703125" style="3" customWidth="1"/>
    <col min="14881" max="14883" width="8.85546875" style="3"/>
    <col min="14884" max="14884" width="10.85546875" style="3" customWidth="1"/>
    <col min="14885" max="14885" width="13.42578125" style="3" customWidth="1"/>
    <col min="14886" max="15111" width="8.85546875" style="3"/>
    <col min="15112" max="15112" width="5.140625" style="3" customWidth="1"/>
    <col min="15113" max="15113" width="24.85546875" style="3" customWidth="1"/>
    <col min="15114" max="15114" width="19.140625" style="3" customWidth="1"/>
    <col min="15115" max="15117" width="8.85546875" style="3"/>
    <col min="15118" max="15118" width="11.42578125" style="3" customWidth="1"/>
    <col min="15119" max="15123" width="8.85546875" style="3"/>
    <col min="15124" max="15124" width="10.28515625" style="3" customWidth="1"/>
    <col min="15125" max="15126" width="8.85546875" style="3"/>
    <col min="15127" max="15128" width="0" style="3" hidden="1" customWidth="1"/>
    <col min="15129" max="15135" width="8.85546875" style="3"/>
    <col min="15136" max="15136" width="7.5703125" style="3" customWidth="1"/>
    <col min="15137" max="15139" width="8.85546875" style="3"/>
    <col min="15140" max="15140" width="10.85546875" style="3" customWidth="1"/>
    <col min="15141" max="15141" width="13.42578125" style="3" customWidth="1"/>
    <col min="15142" max="15367" width="8.85546875" style="3"/>
    <col min="15368" max="15368" width="5.140625" style="3" customWidth="1"/>
    <col min="15369" max="15369" width="24.85546875" style="3" customWidth="1"/>
    <col min="15370" max="15370" width="19.140625" style="3" customWidth="1"/>
    <col min="15371" max="15373" width="8.85546875" style="3"/>
    <col min="15374" max="15374" width="11.42578125" style="3" customWidth="1"/>
    <col min="15375" max="15379" width="8.85546875" style="3"/>
    <col min="15380" max="15380" width="10.28515625" style="3" customWidth="1"/>
    <col min="15381" max="15382" width="8.85546875" style="3"/>
    <col min="15383" max="15384" width="0" style="3" hidden="1" customWidth="1"/>
    <col min="15385" max="15391" width="8.85546875" style="3"/>
    <col min="15392" max="15392" width="7.5703125" style="3" customWidth="1"/>
    <col min="15393" max="15395" width="8.85546875" style="3"/>
    <col min="15396" max="15396" width="10.85546875" style="3" customWidth="1"/>
    <col min="15397" max="15397" width="13.42578125" style="3" customWidth="1"/>
    <col min="15398" max="15623" width="8.85546875" style="3"/>
    <col min="15624" max="15624" width="5.140625" style="3" customWidth="1"/>
    <col min="15625" max="15625" width="24.85546875" style="3" customWidth="1"/>
    <col min="15626" max="15626" width="19.140625" style="3" customWidth="1"/>
    <col min="15627" max="15629" width="8.85546875" style="3"/>
    <col min="15630" max="15630" width="11.42578125" style="3" customWidth="1"/>
    <col min="15631" max="15635" width="8.85546875" style="3"/>
    <col min="15636" max="15636" width="10.28515625" style="3" customWidth="1"/>
    <col min="15637" max="15638" width="8.85546875" style="3"/>
    <col min="15639" max="15640" width="0" style="3" hidden="1" customWidth="1"/>
    <col min="15641" max="15647" width="8.85546875" style="3"/>
    <col min="15648" max="15648" width="7.5703125" style="3" customWidth="1"/>
    <col min="15649" max="15651" width="8.85546875" style="3"/>
    <col min="15652" max="15652" width="10.85546875" style="3" customWidth="1"/>
    <col min="15653" max="15653" width="13.42578125" style="3" customWidth="1"/>
    <col min="15654" max="15879" width="8.85546875" style="3"/>
    <col min="15880" max="15880" width="5.140625" style="3" customWidth="1"/>
    <col min="15881" max="15881" width="24.85546875" style="3" customWidth="1"/>
    <col min="15882" max="15882" width="19.140625" style="3" customWidth="1"/>
    <col min="15883" max="15885" width="8.85546875" style="3"/>
    <col min="15886" max="15886" width="11.42578125" style="3" customWidth="1"/>
    <col min="15887" max="15891" width="8.85546875" style="3"/>
    <col min="15892" max="15892" width="10.28515625" style="3" customWidth="1"/>
    <col min="15893" max="15894" width="8.85546875" style="3"/>
    <col min="15895" max="15896" width="0" style="3" hidden="1" customWidth="1"/>
    <col min="15897" max="15903" width="8.85546875" style="3"/>
    <col min="15904" max="15904" width="7.5703125" style="3" customWidth="1"/>
    <col min="15905" max="15907" width="8.85546875" style="3"/>
    <col min="15908" max="15908" width="10.85546875" style="3" customWidth="1"/>
    <col min="15909" max="15909" width="13.42578125" style="3" customWidth="1"/>
    <col min="15910" max="16135" width="8.85546875" style="3"/>
    <col min="16136" max="16136" width="5.140625" style="3" customWidth="1"/>
    <col min="16137" max="16137" width="24.85546875" style="3" customWidth="1"/>
    <col min="16138" max="16138" width="19.140625" style="3" customWidth="1"/>
    <col min="16139" max="16141" width="8.85546875" style="3"/>
    <col min="16142" max="16142" width="11.42578125" style="3" customWidth="1"/>
    <col min="16143" max="16147" width="8.85546875" style="3"/>
    <col min="16148" max="16148" width="10.28515625" style="3" customWidth="1"/>
    <col min="16149" max="16150" width="8.85546875" style="3"/>
    <col min="16151" max="16152" width="0" style="3" hidden="1" customWidth="1"/>
    <col min="16153" max="16159" width="8.85546875" style="3"/>
    <col min="16160" max="16160" width="7.5703125" style="3" customWidth="1"/>
    <col min="16161" max="16163" width="8.85546875" style="3"/>
    <col min="16164" max="16164" width="10.85546875" style="3" customWidth="1"/>
    <col min="16165" max="16165" width="13.42578125" style="3" customWidth="1"/>
    <col min="16166" max="16381" width="8.85546875" style="3"/>
    <col min="16382" max="16384" width="9.140625" style="3" customWidth="1"/>
  </cols>
  <sheetData>
    <row r="1" spans="1:43" ht="15">
      <c r="A1" s="1"/>
      <c r="B1" s="134"/>
      <c r="C1" s="134"/>
      <c r="D1" s="134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83"/>
      <c r="AN1" s="2"/>
      <c r="AO1" s="2"/>
      <c r="AP1" s="2"/>
    </row>
    <row r="2" spans="1:43" ht="15">
      <c r="A2" s="1"/>
      <c r="B2" s="134" t="s">
        <v>90</v>
      </c>
      <c r="C2" s="134"/>
      <c r="D2" s="134"/>
      <c r="E2" s="1"/>
      <c r="F2" s="1"/>
      <c r="G2" s="1"/>
      <c r="H2" s="1"/>
      <c r="I2" s="1"/>
      <c r="J2" s="2"/>
      <c r="K2" s="2"/>
      <c r="L2" s="2"/>
      <c r="M2" s="135" t="s">
        <v>0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2"/>
      <c r="AK2" s="2"/>
      <c r="AL2" s="2"/>
      <c r="AM2" s="83"/>
      <c r="AN2" s="2"/>
      <c r="AO2" s="2"/>
      <c r="AP2" s="2"/>
    </row>
    <row r="3" spans="1:43" ht="15">
      <c r="A3" s="1"/>
      <c r="B3" s="136" t="s">
        <v>123</v>
      </c>
      <c r="C3" s="136"/>
      <c r="D3" s="136"/>
      <c r="E3" s="137"/>
      <c r="F3" s="137"/>
      <c r="G3" s="1"/>
      <c r="H3" s="1"/>
      <c r="I3" s="1"/>
      <c r="J3" s="2"/>
      <c r="K3" s="2"/>
      <c r="L3" s="2"/>
      <c r="M3" s="120"/>
      <c r="N3" s="2"/>
      <c r="O3" s="2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2"/>
      <c r="AK3" s="2"/>
      <c r="AL3" s="2"/>
      <c r="AM3" s="83"/>
      <c r="AN3" s="2"/>
      <c r="AO3" s="2"/>
      <c r="AP3" s="2"/>
    </row>
    <row r="4" spans="1:43" ht="15">
      <c r="A4" s="1"/>
      <c r="B4" s="136" t="s">
        <v>157</v>
      </c>
      <c r="C4" s="136"/>
      <c r="D4" s="136"/>
      <c r="E4" s="137"/>
      <c r="F4" s="137"/>
      <c r="G4" s="1"/>
      <c r="H4" s="1"/>
      <c r="I4" s="1"/>
      <c r="J4" s="2"/>
      <c r="K4" s="4"/>
      <c r="L4" s="2"/>
      <c r="M4" s="2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83"/>
      <c r="AN4" s="2"/>
      <c r="AO4" s="2"/>
      <c r="AP4" s="2"/>
    </row>
    <row r="5" spans="1:43" ht="15">
      <c r="A5" s="1"/>
      <c r="B5" s="134" t="s">
        <v>158</v>
      </c>
      <c r="C5" s="134"/>
      <c r="D5" s="134"/>
      <c r="E5" s="123"/>
      <c r="F5" s="121"/>
      <c r="G5" s="1"/>
      <c r="H5" s="1"/>
      <c r="I5" s="1"/>
      <c r="J5" s="2"/>
      <c r="K5" s="4"/>
      <c r="L5" s="2"/>
      <c r="M5" s="2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83"/>
      <c r="AN5" s="2"/>
      <c r="AO5" s="2"/>
      <c r="AP5" s="2"/>
    </row>
    <row r="6" spans="1:43" ht="15">
      <c r="A6" s="5"/>
      <c r="B6" s="134"/>
      <c r="C6" s="134"/>
      <c r="D6" s="134"/>
      <c r="E6" s="1"/>
      <c r="F6" s="1"/>
      <c r="G6" s="6" t="s">
        <v>1</v>
      </c>
      <c r="H6" s="7">
        <v>17697</v>
      </c>
      <c r="I6" s="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4"/>
      <c r="AN6" s="8"/>
      <c r="AO6" s="8"/>
      <c r="AP6" s="8"/>
    </row>
    <row r="7" spans="1:43" ht="12.75" customHeight="1">
      <c r="A7" s="141" t="s">
        <v>2</v>
      </c>
      <c r="B7" s="132" t="s">
        <v>3</v>
      </c>
      <c r="C7" s="132" t="s">
        <v>4</v>
      </c>
      <c r="D7" s="132" t="s">
        <v>5</v>
      </c>
      <c r="E7" s="132"/>
      <c r="F7" s="132"/>
      <c r="G7" s="9"/>
      <c r="H7" s="9"/>
      <c r="I7" s="142" t="s">
        <v>6</v>
      </c>
      <c r="J7" s="145" t="s">
        <v>7</v>
      </c>
      <c r="K7" s="133" t="s">
        <v>128</v>
      </c>
      <c r="L7" s="133"/>
      <c r="M7" s="132" t="s">
        <v>9</v>
      </c>
      <c r="N7" s="133" t="s">
        <v>8</v>
      </c>
      <c r="O7" s="133"/>
      <c r="P7" s="132" t="s">
        <v>9</v>
      </c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53" t="s">
        <v>10</v>
      </c>
      <c r="AN7" s="132" t="s">
        <v>11</v>
      </c>
      <c r="AO7" s="152" t="s">
        <v>12</v>
      </c>
      <c r="AP7" s="152"/>
      <c r="AQ7" s="132" t="s">
        <v>129</v>
      </c>
    </row>
    <row r="8" spans="1:43" ht="28.5" customHeight="1">
      <c r="A8" s="141"/>
      <c r="B8" s="132"/>
      <c r="C8" s="132"/>
      <c r="D8" s="132"/>
      <c r="E8" s="132" t="s">
        <v>13</v>
      </c>
      <c r="F8" s="132" t="s">
        <v>14</v>
      </c>
      <c r="G8" s="132" t="s">
        <v>15</v>
      </c>
      <c r="H8" s="132" t="s">
        <v>16</v>
      </c>
      <c r="I8" s="143"/>
      <c r="J8" s="146"/>
      <c r="K8" s="133"/>
      <c r="L8" s="133"/>
      <c r="M8" s="132"/>
      <c r="N8" s="133"/>
      <c r="O8" s="133"/>
      <c r="P8" s="132"/>
      <c r="Q8" s="138" t="s">
        <v>17</v>
      </c>
      <c r="R8" s="139"/>
      <c r="S8" s="132" t="s">
        <v>17</v>
      </c>
      <c r="T8" s="132"/>
      <c r="U8" s="133" t="s">
        <v>18</v>
      </c>
      <c r="V8" s="133"/>
      <c r="W8" s="119"/>
      <c r="X8" s="148">
        <v>0.1</v>
      </c>
      <c r="Y8" s="133"/>
      <c r="Z8" s="124"/>
      <c r="AA8" s="124"/>
      <c r="AB8" s="149">
        <v>0.2</v>
      </c>
      <c r="AC8" s="150"/>
      <c r="AD8" s="151">
        <v>0.3</v>
      </c>
      <c r="AE8" s="151"/>
      <c r="AF8" s="151">
        <v>0.34</v>
      </c>
      <c r="AG8" s="151"/>
      <c r="AH8" s="140" t="s">
        <v>19</v>
      </c>
      <c r="AI8" s="140"/>
      <c r="AJ8" s="132" t="s">
        <v>20</v>
      </c>
      <c r="AK8" s="132"/>
      <c r="AL8" s="132" t="s">
        <v>21</v>
      </c>
      <c r="AM8" s="153"/>
      <c r="AN8" s="132"/>
      <c r="AO8" s="152"/>
      <c r="AP8" s="152"/>
      <c r="AQ8" s="132"/>
    </row>
    <row r="9" spans="1:43" ht="27.75" customHeight="1">
      <c r="A9" s="141"/>
      <c r="B9" s="132"/>
      <c r="C9" s="132"/>
      <c r="D9" s="132"/>
      <c r="E9" s="132"/>
      <c r="F9" s="132"/>
      <c r="G9" s="132"/>
      <c r="H9" s="132"/>
      <c r="I9" s="144"/>
      <c r="J9" s="147"/>
      <c r="K9" s="122" t="s">
        <v>22</v>
      </c>
      <c r="L9" s="10" t="s">
        <v>7</v>
      </c>
      <c r="M9" s="132"/>
      <c r="N9" s="122" t="s">
        <v>22</v>
      </c>
      <c r="O9" s="10" t="s">
        <v>7</v>
      </c>
      <c r="P9" s="132"/>
      <c r="Q9" s="122" t="s">
        <v>22</v>
      </c>
      <c r="R9" s="119" t="s">
        <v>23</v>
      </c>
      <c r="S9" s="122" t="s">
        <v>22</v>
      </c>
      <c r="T9" s="119" t="s">
        <v>23</v>
      </c>
      <c r="U9" s="119" t="s">
        <v>24</v>
      </c>
      <c r="V9" s="119" t="s">
        <v>23</v>
      </c>
      <c r="W9" s="119"/>
      <c r="X9" s="119" t="s">
        <v>25</v>
      </c>
      <c r="Y9" s="119" t="s">
        <v>23</v>
      </c>
      <c r="Z9" s="119"/>
      <c r="AA9" s="119"/>
      <c r="AB9" s="119" t="s">
        <v>25</v>
      </c>
      <c r="AC9" s="119" t="s">
        <v>23</v>
      </c>
      <c r="AD9" s="119" t="s">
        <v>25</v>
      </c>
      <c r="AE9" s="119" t="s">
        <v>23</v>
      </c>
      <c r="AF9" s="119" t="s">
        <v>25</v>
      </c>
      <c r="AG9" s="119" t="s">
        <v>23</v>
      </c>
      <c r="AH9" s="118" t="s">
        <v>26</v>
      </c>
      <c r="AI9" s="118" t="s">
        <v>23</v>
      </c>
      <c r="AJ9" s="118" t="s">
        <v>26</v>
      </c>
      <c r="AK9" s="118" t="s">
        <v>23</v>
      </c>
      <c r="AL9" s="132"/>
      <c r="AM9" s="153"/>
      <c r="AN9" s="132"/>
      <c r="AO9" s="119" t="s">
        <v>27</v>
      </c>
      <c r="AP9" s="119" t="s">
        <v>7</v>
      </c>
      <c r="AQ9" s="132"/>
    </row>
    <row r="10" spans="1:43" s="20" customFormat="1" ht="15">
      <c r="A10" s="129">
        <v>1</v>
      </c>
      <c r="B10" s="128">
        <v>2</v>
      </c>
      <c r="C10" s="129">
        <v>3</v>
      </c>
      <c r="D10" s="128">
        <v>4</v>
      </c>
      <c r="E10" s="129"/>
      <c r="F10" s="128">
        <v>6</v>
      </c>
      <c r="G10" s="129">
        <v>7</v>
      </c>
      <c r="H10" s="128">
        <v>8</v>
      </c>
      <c r="I10" s="129">
        <v>9</v>
      </c>
      <c r="J10" s="128">
        <v>10</v>
      </c>
      <c r="K10" s="129">
        <v>11</v>
      </c>
      <c r="L10" s="128">
        <v>12</v>
      </c>
      <c r="M10" s="129">
        <v>13</v>
      </c>
      <c r="N10" s="129">
        <v>11</v>
      </c>
      <c r="O10" s="128">
        <v>12</v>
      </c>
      <c r="P10" s="129">
        <v>13</v>
      </c>
      <c r="Q10" s="128">
        <v>14</v>
      </c>
      <c r="R10" s="129">
        <v>15</v>
      </c>
      <c r="S10" s="128">
        <v>14</v>
      </c>
      <c r="T10" s="129">
        <v>15</v>
      </c>
      <c r="U10" s="128">
        <v>16</v>
      </c>
      <c r="V10" s="129">
        <v>17</v>
      </c>
      <c r="W10" s="129"/>
      <c r="X10" s="128">
        <v>18</v>
      </c>
      <c r="Y10" s="129">
        <v>19</v>
      </c>
      <c r="Z10" s="129"/>
      <c r="AA10" s="129"/>
      <c r="AB10" s="128">
        <v>20</v>
      </c>
      <c r="AC10" s="129">
        <v>21</v>
      </c>
      <c r="AD10" s="128">
        <v>22</v>
      </c>
      <c r="AE10" s="129">
        <v>23</v>
      </c>
      <c r="AF10" s="128">
        <v>22</v>
      </c>
      <c r="AG10" s="129">
        <v>23</v>
      </c>
      <c r="AH10" s="128">
        <v>24</v>
      </c>
      <c r="AI10" s="129">
        <v>25</v>
      </c>
      <c r="AJ10" s="128">
        <v>26</v>
      </c>
      <c r="AK10" s="129">
        <v>27</v>
      </c>
      <c r="AL10" s="128">
        <v>28</v>
      </c>
      <c r="AM10" s="129">
        <v>29</v>
      </c>
      <c r="AN10" s="128">
        <v>30</v>
      </c>
      <c r="AO10" s="129">
        <v>31</v>
      </c>
      <c r="AP10" s="128">
        <v>32</v>
      </c>
      <c r="AQ10" s="126">
        <v>33</v>
      </c>
    </row>
    <row r="11" spans="1:43" s="20" customFormat="1" ht="12.75" customHeight="1">
      <c r="A11" s="11">
        <v>1</v>
      </c>
      <c r="B11" s="11" t="s">
        <v>28</v>
      </c>
      <c r="C11" s="11" t="s">
        <v>29</v>
      </c>
      <c r="D11" s="11" t="s">
        <v>30</v>
      </c>
      <c r="E11" s="12" t="s">
        <v>31</v>
      </c>
      <c r="F11" s="11"/>
      <c r="G11" s="13" t="s">
        <v>132</v>
      </c>
      <c r="H11" s="14">
        <v>5.91</v>
      </c>
      <c r="I11" s="12"/>
      <c r="J11" s="12"/>
      <c r="K11" s="128">
        <v>1</v>
      </c>
      <c r="L11" s="15">
        <v>26147.32</v>
      </c>
      <c r="M11" s="15">
        <f>SUM(J11,L11)</f>
        <v>26147.32</v>
      </c>
      <c r="N11" s="128">
        <v>25</v>
      </c>
      <c r="O11" s="15">
        <f>SUM(M11*N11)/100</f>
        <v>6536.83</v>
      </c>
      <c r="P11" s="15">
        <f>SUM(M11,O11)</f>
        <v>32684.15</v>
      </c>
      <c r="Q11" s="12"/>
      <c r="R11" s="12">
        <f>SUM($H$6*Q11/100)</f>
        <v>0</v>
      </c>
      <c r="S11" s="12"/>
      <c r="T11" s="12">
        <f>SUM($H$6*S11/100)</f>
        <v>0</v>
      </c>
      <c r="U11" s="128"/>
      <c r="V11" s="12">
        <f>SUM($H$6*3.5/100)*U11</f>
        <v>0</v>
      </c>
      <c r="W11" s="12">
        <v>1</v>
      </c>
      <c r="X11" s="12"/>
      <c r="Y11" s="16">
        <v>2615</v>
      </c>
      <c r="Z11" s="16"/>
      <c r="AA11" s="12">
        <v>1</v>
      </c>
      <c r="AB11" s="12"/>
      <c r="AC11" s="15">
        <f>SUM($H$6*0.2)*AB11</f>
        <v>0</v>
      </c>
      <c r="AD11" s="12"/>
      <c r="AE11" s="15">
        <f>SUM($H$6*0.3)*AD11</f>
        <v>0</v>
      </c>
      <c r="AF11" s="12"/>
      <c r="AG11" s="15">
        <f>SUM($H$6*0.3)*AF11</f>
        <v>0</v>
      </c>
      <c r="AH11" s="128"/>
      <c r="AI11" s="12">
        <f t="shared" ref="AI11:AI27" si="0">SUM($H$6*H11*I11/168*24)/12*AH11</f>
        <v>0</v>
      </c>
      <c r="AJ11" s="128"/>
      <c r="AK11" s="12">
        <f t="shared" ref="AK11:AK27" si="1">SUM($H$6*H11*I11*0.5/168*8)*AJ11</f>
        <v>0</v>
      </c>
      <c r="AL11" s="15">
        <f t="shared" ref="AL11:AL27" si="2">SUM(R11,T11,Y11,AC11,AE11,AI11,AK11)</f>
        <v>2615</v>
      </c>
      <c r="AM11" s="15">
        <f>SUM(P11+AL11)</f>
        <v>35299.15</v>
      </c>
      <c r="AN11" s="15">
        <f>SUM(AM11*12)</f>
        <v>423589.80000000005</v>
      </c>
      <c r="AO11" s="17">
        <v>1</v>
      </c>
      <c r="AP11" s="18">
        <f>P11</f>
        <v>32684.15</v>
      </c>
      <c r="AQ11" s="19">
        <f>AN11+AP11</f>
        <v>456273.95000000007</v>
      </c>
    </row>
    <row r="12" spans="1:43" s="20" customFormat="1" ht="12.75" customHeight="1">
      <c r="A12" s="11">
        <v>2</v>
      </c>
      <c r="B12" s="11" t="s">
        <v>35</v>
      </c>
      <c r="C12" s="11" t="s">
        <v>36</v>
      </c>
      <c r="D12" s="13" t="s">
        <v>37</v>
      </c>
      <c r="E12" s="12" t="s">
        <v>140</v>
      </c>
      <c r="F12" s="11">
        <v>1</v>
      </c>
      <c r="G12" s="13" t="s">
        <v>141</v>
      </c>
      <c r="H12" s="11">
        <v>5.2</v>
      </c>
      <c r="I12" s="12"/>
      <c r="J12" s="15"/>
      <c r="K12" s="128">
        <v>0.25</v>
      </c>
      <c r="L12" s="15">
        <v>5751.53</v>
      </c>
      <c r="M12" s="15">
        <f t="shared" ref="M12:M27" si="3">SUM(J12,L12)</f>
        <v>5751.53</v>
      </c>
      <c r="N12" s="128">
        <v>25</v>
      </c>
      <c r="O12" s="15">
        <f t="shared" ref="O12:O27" si="4">SUM(M12*N12)/100</f>
        <v>1437.8824999999999</v>
      </c>
      <c r="P12" s="15">
        <f t="shared" ref="P12:P27" si="5">SUM(M12,O12)</f>
        <v>7189.4124999999995</v>
      </c>
      <c r="Q12" s="12">
        <v>0</v>
      </c>
      <c r="R12" s="15">
        <f>SUM($H$6*Q12*1.25%)</f>
        <v>0</v>
      </c>
      <c r="S12" s="12"/>
      <c r="T12" s="15">
        <f>SUM($H$6*S12*1.25%)</f>
        <v>0</v>
      </c>
      <c r="U12" s="128"/>
      <c r="V12" s="12">
        <f t="shared" ref="V12:V24" si="6">SUM($H$6*3.5/100)*U12</f>
        <v>0</v>
      </c>
      <c r="W12" s="12">
        <v>3</v>
      </c>
      <c r="X12" s="12"/>
      <c r="Y12" s="12">
        <v>575</v>
      </c>
      <c r="Z12" s="12"/>
      <c r="AA12" s="12">
        <v>3</v>
      </c>
      <c r="AB12" s="12"/>
      <c r="AC12" s="15">
        <f t="shared" ref="AC12:AC27" si="7">SUM($H$6*0.2)*AB12</f>
        <v>0</v>
      </c>
      <c r="AD12" s="12"/>
      <c r="AE12" s="15">
        <f t="shared" ref="AE12:AE27" si="8">SUM($H$6*0.3)*AD12</f>
        <v>0</v>
      </c>
      <c r="AF12" s="12"/>
      <c r="AG12" s="15">
        <f t="shared" ref="AG12:AG27" si="9">SUM($H$6*0.3)*AF12</f>
        <v>0</v>
      </c>
      <c r="AH12" s="128"/>
      <c r="AI12" s="12">
        <f t="shared" si="0"/>
        <v>0</v>
      </c>
      <c r="AJ12" s="128"/>
      <c r="AK12" s="12">
        <f t="shared" si="1"/>
        <v>0</v>
      </c>
      <c r="AL12" s="16">
        <f t="shared" si="2"/>
        <v>575</v>
      </c>
      <c r="AM12" s="15">
        <f t="shared" ref="AM12:AM27" si="10">SUM(P12+AL12)</f>
        <v>7764.4124999999995</v>
      </c>
      <c r="AN12" s="15">
        <f>SUM(AM12*9)</f>
        <v>69879.712499999994</v>
      </c>
      <c r="AO12" s="17">
        <v>0.25</v>
      </c>
      <c r="AP12" s="18">
        <f t="shared" ref="AP12:AP27" si="11">P12</f>
        <v>7189.4124999999995</v>
      </c>
      <c r="AQ12" s="19">
        <f t="shared" ref="AQ12:AQ27" si="12">AN12+AP12</f>
        <v>77069.125</v>
      </c>
    </row>
    <row r="13" spans="1:43" s="20" customFormat="1" ht="12.75" customHeight="1">
      <c r="A13" s="11">
        <v>3</v>
      </c>
      <c r="B13" s="11" t="s">
        <v>35</v>
      </c>
      <c r="C13" s="11" t="s">
        <v>38</v>
      </c>
      <c r="D13" s="13" t="s">
        <v>30</v>
      </c>
      <c r="E13" s="12" t="s">
        <v>140</v>
      </c>
      <c r="F13" s="11">
        <v>1</v>
      </c>
      <c r="G13" s="13" t="s">
        <v>141</v>
      </c>
      <c r="H13" s="11">
        <v>5.2</v>
      </c>
      <c r="I13" s="12"/>
      <c r="J13" s="15"/>
      <c r="K13" s="128">
        <v>1</v>
      </c>
      <c r="L13" s="15">
        <v>23006.1</v>
      </c>
      <c r="M13" s="15">
        <f t="shared" si="3"/>
        <v>23006.1</v>
      </c>
      <c r="N13" s="128">
        <v>25</v>
      </c>
      <c r="O13" s="15">
        <f t="shared" si="4"/>
        <v>5751.5249999999996</v>
      </c>
      <c r="P13" s="15">
        <f t="shared" si="5"/>
        <v>28757.625</v>
      </c>
      <c r="Q13" s="12">
        <v>0</v>
      </c>
      <c r="R13" s="15">
        <f>SUM($H$6*Q13*1.25%)</f>
        <v>0</v>
      </c>
      <c r="S13" s="12"/>
      <c r="T13" s="15">
        <f>SUM($H$6*S13*1.25%)</f>
        <v>0</v>
      </c>
      <c r="U13" s="128"/>
      <c r="V13" s="12">
        <f t="shared" si="6"/>
        <v>0</v>
      </c>
      <c r="W13" s="12">
        <v>5</v>
      </c>
      <c r="X13" s="12"/>
      <c r="Y13" s="16">
        <v>2301</v>
      </c>
      <c r="Z13" s="16"/>
      <c r="AA13" s="12">
        <v>5</v>
      </c>
      <c r="AB13" s="12"/>
      <c r="AC13" s="15">
        <f t="shared" si="7"/>
        <v>0</v>
      </c>
      <c r="AD13" s="12"/>
      <c r="AE13" s="15">
        <f t="shared" si="8"/>
        <v>0</v>
      </c>
      <c r="AF13" s="12"/>
      <c r="AG13" s="15">
        <f t="shared" ref="AG13" si="13">SUM($H$6*0.3)*AF13</f>
        <v>0</v>
      </c>
      <c r="AH13" s="128"/>
      <c r="AI13" s="12">
        <f t="shared" si="0"/>
        <v>0</v>
      </c>
      <c r="AJ13" s="128"/>
      <c r="AK13" s="12">
        <f t="shared" si="1"/>
        <v>0</v>
      </c>
      <c r="AL13" s="16">
        <f t="shared" si="2"/>
        <v>2301</v>
      </c>
      <c r="AM13" s="15">
        <f t="shared" si="10"/>
        <v>31058.625</v>
      </c>
      <c r="AN13" s="15">
        <f>SUM(AM13*12)</f>
        <v>372703.5</v>
      </c>
      <c r="AO13" s="17">
        <v>1</v>
      </c>
      <c r="AP13" s="18">
        <f t="shared" si="11"/>
        <v>28757.625</v>
      </c>
      <c r="AQ13" s="19">
        <f t="shared" si="12"/>
        <v>401461.125</v>
      </c>
    </row>
    <row r="14" spans="1:43" s="20" customFormat="1" ht="12.75" customHeight="1">
      <c r="A14" s="11">
        <v>4</v>
      </c>
      <c r="B14" s="11" t="s">
        <v>39</v>
      </c>
      <c r="C14" s="11" t="s">
        <v>40</v>
      </c>
      <c r="D14" s="11" t="s">
        <v>30</v>
      </c>
      <c r="E14" s="12" t="s">
        <v>41</v>
      </c>
      <c r="F14" s="11">
        <v>1</v>
      </c>
      <c r="G14" s="13" t="s">
        <v>134</v>
      </c>
      <c r="H14" s="11">
        <v>4.51</v>
      </c>
      <c r="I14" s="12"/>
      <c r="J14" s="15"/>
      <c r="K14" s="128">
        <v>0.75</v>
      </c>
      <c r="L14" s="15">
        <v>14965.03</v>
      </c>
      <c r="M14" s="15">
        <f t="shared" si="3"/>
        <v>14965.03</v>
      </c>
      <c r="N14" s="128">
        <v>25</v>
      </c>
      <c r="O14" s="15">
        <f t="shared" si="4"/>
        <v>3741.2575000000002</v>
      </c>
      <c r="P14" s="15">
        <f t="shared" si="5"/>
        <v>18706.287500000002</v>
      </c>
      <c r="Q14" s="12">
        <v>0</v>
      </c>
      <c r="R14" s="15">
        <f>SUM($H$6*Q14*1.25%)</f>
        <v>0</v>
      </c>
      <c r="S14" s="12"/>
      <c r="T14" s="15">
        <f>SUM($H$6*S14/100)</f>
        <v>0</v>
      </c>
      <c r="U14" s="128"/>
      <c r="V14" s="12">
        <f t="shared" si="6"/>
        <v>0</v>
      </c>
      <c r="W14" s="12">
        <v>6</v>
      </c>
      <c r="X14" s="12"/>
      <c r="Y14" s="16">
        <v>1496</v>
      </c>
      <c r="Z14" s="16"/>
      <c r="AA14" s="12">
        <v>6</v>
      </c>
      <c r="AB14" s="12"/>
      <c r="AC14" s="15">
        <f t="shared" si="7"/>
        <v>0</v>
      </c>
      <c r="AD14" s="12"/>
      <c r="AE14" s="15">
        <f t="shared" si="8"/>
        <v>0</v>
      </c>
      <c r="AF14" s="12"/>
      <c r="AG14" s="15">
        <f t="shared" si="9"/>
        <v>0</v>
      </c>
      <c r="AH14" s="128"/>
      <c r="AI14" s="12">
        <f t="shared" si="0"/>
        <v>0</v>
      </c>
      <c r="AJ14" s="128"/>
      <c r="AK14" s="12">
        <f t="shared" si="1"/>
        <v>0</v>
      </c>
      <c r="AL14" s="16">
        <f t="shared" si="2"/>
        <v>1496</v>
      </c>
      <c r="AM14" s="15">
        <f t="shared" si="10"/>
        <v>20202.287500000002</v>
      </c>
      <c r="AN14" s="15">
        <f t="shared" ref="AN14" si="14">SUM(AM14*12)</f>
        <v>242427.45</v>
      </c>
      <c r="AO14" s="17">
        <v>0.75</v>
      </c>
      <c r="AP14" s="18">
        <f t="shared" si="11"/>
        <v>18706.287500000002</v>
      </c>
      <c r="AQ14" s="19">
        <f t="shared" si="12"/>
        <v>261133.73750000002</v>
      </c>
    </row>
    <row r="15" spans="1:43" s="20" customFormat="1" ht="12.75" customHeight="1">
      <c r="A15" s="11">
        <v>5</v>
      </c>
      <c r="B15" s="11" t="s">
        <v>42</v>
      </c>
      <c r="C15" s="11" t="s">
        <v>40</v>
      </c>
      <c r="D15" s="11" t="s">
        <v>30</v>
      </c>
      <c r="E15" s="12" t="s">
        <v>41</v>
      </c>
      <c r="F15" s="11">
        <v>1</v>
      </c>
      <c r="G15" s="13" t="s">
        <v>134</v>
      </c>
      <c r="H15" s="11">
        <v>4.51</v>
      </c>
      <c r="I15" s="12"/>
      <c r="J15" s="15"/>
      <c r="K15" s="128">
        <v>0.5</v>
      </c>
      <c r="L15" s="15">
        <v>9976.68</v>
      </c>
      <c r="M15" s="15">
        <f t="shared" si="3"/>
        <v>9976.68</v>
      </c>
      <c r="N15" s="128">
        <v>25</v>
      </c>
      <c r="O15" s="15">
        <f t="shared" si="4"/>
        <v>2494.17</v>
      </c>
      <c r="P15" s="15">
        <f t="shared" si="5"/>
        <v>12470.85</v>
      </c>
      <c r="Q15" s="12">
        <v>0</v>
      </c>
      <c r="R15" s="15">
        <f>SUM($H$6*Q15*1.25%)</f>
        <v>0</v>
      </c>
      <c r="S15" s="12"/>
      <c r="T15" s="15">
        <f>SUM($H$6*S15/100)</f>
        <v>0</v>
      </c>
      <c r="U15" s="128"/>
      <c r="V15" s="12">
        <f t="shared" si="6"/>
        <v>0</v>
      </c>
      <c r="W15" s="12">
        <v>7</v>
      </c>
      <c r="X15" s="12"/>
      <c r="Y15" s="16">
        <v>998</v>
      </c>
      <c r="Z15" s="16"/>
      <c r="AA15" s="12">
        <v>7</v>
      </c>
      <c r="AB15" s="12"/>
      <c r="AC15" s="15">
        <f t="shared" si="7"/>
        <v>0</v>
      </c>
      <c r="AD15" s="12"/>
      <c r="AE15" s="15">
        <f t="shared" si="8"/>
        <v>0</v>
      </c>
      <c r="AF15" s="12"/>
      <c r="AG15" s="15">
        <f t="shared" si="9"/>
        <v>0</v>
      </c>
      <c r="AH15" s="128"/>
      <c r="AI15" s="12">
        <f t="shared" si="0"/>
        <v>0</v>
      </c>
      <c r="AJ15" s="128"/>
      <c r="AK15" s="12">
        <f t="shared" si="1"/>
        <v>0</v>
      </c>
      <c r="AL15" s="15">
        <f t="shared" si="2"/>
        <v>998</v>
      </c>
      <c r="AM15" s="15">
        <f t="shared" si="10"/>
        <v>13468.85</v>
      </c>
      <c r="AN15" s="15">
        <f t="shared" ref="AN15" si="15">SUM(AM15*12)</f>
        <v>161626.20000000001</v>
      </c>
      <c r="AO15" s="17">
        <v>0.5</v>
      </c>
      <c r="AP15" s="18">
        <f t="shared" si="11"/>
        <v>12470.85</v>
      </c>
      <c r="AQ15" s="19">
        <f t="shared" si="12"/>
        <v>174097.05000000002</v>
      </c>
    </row>
    <row r="16" spans="1:43" s="20" customFormat="1" ht="13.15" customHeight="1">
      <c r="A16" s="11">
        <v>6</v>
      </c>
      <c r="B16" s="11" t="s">
        <v>42</v>
      </c>
      <c r="C16" s="21" t="s">
        <v>43</v>
      </c>
      <c r="D16" s="21" t="s">
        <v>30</v>
      </c>
      <c r="E16" s="22" t="s">
        <v>41</v>
      </c>
      <c r="F16" s="21">
        <v>1</v>
      </c>
      <c r="G16" s="21" t="s">
        <v>145</v>
      </c>
      <c r="H16" s="23">
        <v>4.4400000000000004</v>
      </c>
      <c r="I16" s="22"/>
      <c r="J16" s="24"/>
      <c r="K16" s="25">
        <v>0.5</v>
      </c>
      <c r="L16" s="24">
        <v>9821.84</v>
      </c>
      <c r="M16" s="24">
        <f t="shared" si="3"/>
        <v>9821.84</v>
      </c>
      <c r="N16" s="25">
        <v>25</v>
      </c>
      <c r="O16" s="24">
        <f t="shared" si="4"/>
        <v>2455.46</v>
      </c>
      <c r="P16" s="24">
        <f t="shared" si="5"/>
        <v>12277.3</v>
      </c>
      <c r="Q16" s="12">
        <v>0</v>
      </c>
      <c r="R16" s="22">
        <f>SUM($H$6*Q16/100/2)</f>
        <v>0</v>
      </c>
      <c r="S16" s="22"/>
      <c r="T16" s="22">
        <f>SUM($H$6*S16/100/2)</f>
        <v>0</v>
      </c>
      <c r="U16" s="25"/>
      <c r="V16" s="22">
        <f t="shared" ref="V16" si="16">SUM($H$6*3.5/100)*U16</f>
        <v>0</v>
      </c>
      <c r="W16" s="12">
        <v>8</v>
      </c>
      <c r="X16" s="22"/>
      <c r="Y16" s="16">
        <v>982</v>
      </c>
      <c r="Z16" s="16"/>
      <c r="AA16" s="12">
        <v>8</v>
      </c>
      <c r="AB16" s="22"/>
      <c r="AC16" s="24">
        <f t="shared" si="7"/>
        <v>0</v>
      </c>
      <c r="AD16" s="22"/>
      <c r="AE16" s="24">
        <f t="shared" si="8"/>
        <v>0</v>
      </c>
      <c r="AF16" s="22"/>
      <c r="AG16" s="24">
        <f t="shared" si="9"/>
        <v>0</v>
      </c>
      <c r="AH16" s="25"/>
      <c r="AI16" s="22">
        <f t="shared" si="0"/>
        <v>0</v>
      </c>
      <c r="AJ16" s="25"/>
      <c r="AK16" s="22">
        <f t="shared" si="1"/>
        <v>0</v>
      </c>
      <c r="AL16" s="16">
        <f t="shared" si="2"/>
        <v>982</v>
      </c>
      <c r="AM16" s="15">
        <f t="shared" si="10"/>
        <v>13259.3</v>
      </c>
      <c r="AN16" s="24">
        <f>SUM(AM16*9)</f>
        <v>119333.7</v>
      </c>
      <c r="AO16" s="26">
        <v>0.5</v>
      </c>
      <c r="AP16" s="18">
        <f t="shared" si="11"/>
        <v>12277.3</v>
      </c>
      <c r="AQ16" s="19">
        <f t="shared" si="12"/>
        <v>131611</v>
      </c>
    </row>
    <row r="17" spans="1:43" s="20" customFormat="1" ht="14.45" customHeight="1">
      <c r="A17" s="11">
        <v>7</v>
      </c>
      <c r="B17" s="11" t="s">
        <v>44</v>
      </c>
      <c r="C17" s="11" t="s">
        <v>45</v>
      </c>
      <c r="D17" s="11" t="s">
        <v>30</v>
      </c>
      <c r="E17" s="12" t="s">
        <v>41</v>
      </c>
      <c r="F17" s="11">
        <v>1</v>
      </c>
      <c r="G17" s="13" t="s">
        <v>138</v>
      </c>
      <c r="H17" s="11">
        <v>4.51</v>
      </c>
      <c r="I17" s="12"/>
      <c r="J17" s="12"/>
      <c r="K17" s="128">
        <v>1</v>
      </c>
      <c r="L17" s="15">
        <v>19953.37</v>
      </c>
      <c r="M17" s="15">
        <f t="shared" si="3"/>
        <v>19953.37</v>
      </c>
      <c r="N17" s="128">
        <v>25</v>
      </c>
      <c r="O17" s="15">
        <f t="shared" si="4"/>
        <v>4988.3424999999997</v>
      </c>
      <c r="P17" s="15">
        <f t="shared" si="5"/>
        <v>24941.712499999998</v>
      </c>
      <c r="Q17" s="12">
        <v>0</v>
      </c>
      <c r="R17" s="12">
        <f t="shared" ref="R17:R24" si="17">SUM($H$6*Q17/100)</f>
        <v>0</v>
      </c>
      <c r="S17" s="12"/>
      <c r="T17" s="12">
        <f t="shared" ref="T17:T19" si="18">SUM($H$6*S17/100)</f>
        <v>0</v>
      </c>
      <c r="U17" s="128"/>
      <c r="V17" s="12">
        <f t="shared" si="6"/>
        <v>0</v>
      </c>
      <c r="W17" s="12">
        <v>9</v>
      </c>
      <c r="X17" s="12"/>
      <c r="Y17" s="16">
        <v>1995</v>
      </c>
      <c r="Z17" s="16"/>
      <c r="AA17" s="12">
        <v>9</v>
      </c>
      <c r="AB17" s="12"/>
      <c r="AC17" s="15">
        <f t="shared" si="7"/>
        <v>0</v>
      </c>
      <c r="AD17" s="12"/>
      <c r="AE17" s="15">
        <f t="shared" si="8"/>
        <v>0</v>
      </c>
      <c r="AF17" s="12"/>
      <c r="AG17" s="15">
        <f t="shared" si="9"/>
        <v>0</v>
      </c>
      <c r="AH17" s="128"/>
      <c r="AI17" s="12">
        <f t="shared" si="0"/>
        <v>0</v>
      </c>
      <c r="AJ17" s="128"/>
      <c r="AK17" s="12">
        <f t="shared" si="1"/>
        <v>0</v>
      </c>
      <c r="AL17" s="16">
        <f t="shared" si="2"/>
        <v>1995</v>
      </c>
      <c r="AM17" s="15">
        <f t="shared" si="10"/>
        <v>26936.712499999998</v>
      </c>
      <c r="AN17" s="15">
        <f>SUM(AM17*13)</f>
        <v>350177.26249999995</v>
      </c>
      <c r="AO17" s="17">
        <v>1</v>
      </c>
      <c r="AP17" s="18">
        <f t="shared" si="11"/>
        <v>24941.712499999998</v>
      </c>
      <c r="AQ17" s="19">
        <f t="shared" si="12"/>
        <v>375118.97499999998</v>
      </c>
    </row>
    <row r="18" spans="1:43" s="20" customFormat="1" ht="12.75" customHeight="1">
      <c r="A18" s="11">
        <v>8</v>
      </c>
      <c r="B18" s="11" t="s">
        <v>46</v>
      </c>
      <c r="C18" s="11" t="s">
        <v>45</v>
      </c>
      <c r="D18" s="11" t="s">
        <v>30</v>
      </c>
      <c r="E18" s="12" t="s">
        <v>41</v>
      </c>
      <c r="F18" s="11">
        <v>1</v>
      </c>
      <c r="G18" s="13" t="s">
        <v>137</v>
      </c>
      <c r="H18" s="11">
        <v>4.51</v>
      </c>
      <c r="I18" s="12"/>
      <c r="J18" s="12"/>
      <c r="K18" s="128">
        <v>1</v>
      </c>
      <c r="L18" s="15">
        <v>19953.37</v>
      </c>
      <c r="M18" s="15">
        <f t="shared" si="3"/>
        <v>19953.37</v>
      </c>
      <c r="N18" s="128">
        <v>25</v>
      </c>
      <c r="O18" s="15">
        <f t="shared" si="4"/>
        <v>4988.3424999999997</v>
      </c>
      <c r="P18" s="15">
        <f t="shared" si="5"/>
        <v>24941.712499999998</v>
      </c>
      <c r="Q18" s="12">
        <v>0</v>
      </c>
      <c r="R18" s="12">
        <f t="shared" si="17"/>
        <v>0</v>
      </c>
      <c r="S18" s="12"/>
      <c r="T18" s="12">
        <f t="shared" si="18"/>
        <v>0</v>
      </c>
      <c r="U18" s="128"/>
      <c r="V18" s="12">
        <f t="shared" si="6"/>
        <v>0</v>
      </c>
      <c r="W18" s="12">
        <v>10</v>
      </c>
      <c r="X18" s="12"/>
      <c r="Y18" s="16">
        <v>1995</v>
      </c>
      <c r="Z18" s="16"/>
      <c r="AA18" s="12">
        <v>10</v>
      </c>
      <c r="AB18" s="12"/>
      <c r="AC18" s="15">
        <f t="shared" si="7"/>
        <v>0</v>
      </c>
      <c r="AD18" s="12"/>
      <c r="AE18" s="15">
        <f>SUM($H$6*0.6)*AD18</f>
        <v>0</v>
      </c>
      <c r="AF18" s="12"/>
      <c r="AG18" s="15">
        <f t="shared" si="9"/>
        <v>0</v>
      </c>
      <c r="AH18" s="128"/>
      <c r="AI18" s="12">
        <f t="shared" si="0"/>
        <v>0</v>
      </c>
      <c r="AJ18" s="128"/>
      <c r="AK18" s="12">
        <f t="shared" si="1"/>
        <v>0</v>
      </c>
      <c r="AL18" s="15">
        <f t="shared" si="2"/>
        <v>1995</v>
      </c>
      <c r="AM18" s="15">
        <f t="shared" si="10"/>
        <v>26936.712499999998</v>
      </c>
      <c r="AN18" s="15">
        <f t="shared" ref="AN18:AN24" si="19">SUM(AM18*13)</f>
        <v>350177.26249999995</v>
      </c>
      <c r="AO18" s="17">
        <v>1</v>
      </c>
      <c r="AP18" s="18">
        <f t="shared" si="11"/>
        <v>24941.712499999998</v>
      </c>
      <c r="AQ18" s="19">
        <f t="shared" si="12"/>
        <v>375118.97499999998</v>
      </c>
    </row>
    <row r="19" spans="1:43" s="20" customFormat="1" ht="12.75" customHeight="1">
      <c r="A19" s="11">
        <v>9</v>
      </c>
      <c r="B19" s="11" t="s">
        <v>47</v>
      </c>
      <c r="C19" s="11" t="s">
        <v>45</v>
      </c>
      <c r="D19" s="11" t="s">
        <v>30</v>
      </c>
      <c r="E19" s="12" t="s">
        <v>41</v>
      </c>
      <c r="F19" s="11">
        <v>1</v>
      </c>
      <c r="G19" s="13" t="s">
        <v>143</v>
      </c>
      <c r="H19" s="11">
        <v>4.37</v>
      </c>
      <c r="I19" s="12"/>
      <c r="J19" s="12"/>
      <c r="K19" s="128">
        <v>1</v>
      </c>
      <c r="L19" s="15">
        <v>19333.97</v>
      </c>
      <c r="M19" s="15">
        <f t="shared" si="3"/>
        <v>19333.97</v>
      </c>
      <c r="N19" s="128">
        <v>25</v>
      </c>
      <c r="O19" s="15">
        <f t="shared" si="4"/>
        <v>4833.4925000000003</v>
      </c>
      <c r="P19" s="15">
        <f t="shared" si="5"/>
        <v>24167.462500000001</v>
      </c>
      <c r="Q19" s="12">
        <v>0</v>
      </c>
      <c r="R19" s="12">
        <f t="shared" si="17"/>
        <v>0</v>
      </c>
      <c r="S19" s="12"/>
      <c r="T19" s="12">
        <f t="shared" si="18"/>
        <v>0</v>
      </c>
      <c r="U19" s="128"/>
      <c r="V19" s="12">
        <f t="shared" si="6"/>
        <v>0</v>
      </c>
      <c r="W19" s="12">
        <v>11</v>
      </c>
      <c r="X19" s="12"/>
      <c r="Y19" s="16">
        <v>1933</v>
      </c>
      <c r="Z19" s="16"/>
      <c r="AA19" s="12">
        <v>11</v>
      </c>
      <c r="AB19" s="12"/>
      <c r="AC19" s="15">
        <f t="shared" si="7"/>
        <v>0</v>
      </c>
      <c r="AD19" s="12"/>
      <c r="AE19" s="15">
        <f t="shared" si="8"/>
        <v>0</v>
      </c>
      <c r="AF19" s="12"/>
      <c r="AG19" s="15">
        <f t="shared" si="9"/>
        <v>0</v>
      </c>
      <c r="AH19" s="128"/>
      <c r="AI19" s="12">
        <f t="shared" si="0"/>
        <v>0</v>
      </c>
      <c r="AJ19" s="128"/>
      <c r="AK19" s="12">
        <f t="shared" si="1"/>
        <v>0</v>
      </c>
      <c r="AL19" s="16">
        <f t="shared" si="2"/>
        <v>1933</v>
      </c>
      <c r="AM19" s="15">
        <f t="shared" si="10"/>
        <v>26100.462500000001</v>
      </c>
      <c r="AN19" s="15">
        <f t="shared" si="19"/>
        <v>339306.01250000001</v>
      </c>
      <c r="AO19" s="17">
        <v>1</v>
      </c>
      <c r="AP19" s="18">
        <f t="shared" si="11"/>
        <v>24167.462500000001</v>
      </c>
      <c r="AQ19" s="19">
        <f t="shared" si="12"/>
        <v>363473.47500000003</v>
      </c>
    </row>
    <row r="20" spans="1:43" s="20" customFormat="1" ht="15" customHeight="1">
      <c r="A20" s="11">
        <v>10</v>
      </c>
      <c r="B20" s="11" t="s">
        <v>48</v>
      </c>
      <c r="C20" s="13" t="s">
        <v>45</v>
      </c>
      <c r="D20" s="11" t="s">
        <v>30</v>
      </c>
      <c r="E20" s="12" t="s">
        <v>41</v>
      </c>
      <c r="F20" s="11">
        <v>1</v>
      </c>
      <c r="G20" s="13" t="s">
        <v>133</v>
      </c>
      <c r="H20" s="14">
        <v>4.4400000000000004</v>
      </c>
      <c r="I20" s="12"/>
      <c r="J20" s="12"/>
      <c r="K20" s="128">
        <v>1</v>
      </c>
      <c r="L20" s="15">
        <v>19643.669999999998</v>
      </c>
      <c r="M20" s="15">
        <f t="shared" si="3"/>
        <v>19643.669999999998</v>
      </c>
      <c r="N20" s="128">
        <v>25</v>
      </c>
      <c r="O20" s="15">
        <f t="shared" si="4"/>
        <v>4910.9174999999996</v>
      </c>
      <c r="P20" s="15">
        <f t="shared" si="5"/>
        <v>24554.587499999998</v>
      </c>
      <c r="Q20" s="12">
        <v>0</v>
      </c>
      <c r="R20" s="12">
        <f t="shared" ref="R20:R23" si="20">SUM($H$6*Q20/100)</f>
        <v>0</v>
      </c>
      <c r="S20" s="12"/>
      <c r="T20" s="12">
        <f t="shared" ref="T20:T24" si="21">SUM($H$6*S20/100)</f>
        <v>0</v>
      </c>
      <c r="U20" s="128"/>
      <c r="V20" s="12">
        <f t="shared" si="6"/>
        <v>0</v>
      </c>
      <c r="W20" s="12">
        <v>12</v>
      </c>
      <c r="X20" s="12"/>
      <c r="Y20" s="16">
        <v>1964</v>
      </c>
      <c r="Z20" s="16"/>
      <c r="AA20" s="12">
        <v>12</v>
      </c>
      <c r="AB20" s="12"/>
      <c r="AC20" s="15">
        <f t="shared" si="7"/>
        <v>0</v>
      </c>
      <c r="AD20" s="12"/>
      <c r="AE20" s="15">
        <f t="shared" si="8"/>
        <v>0</v>
      </c>
      <c r="AF20" s="12"/>
      <c r="AG20" s="15">
        <f t="shared" si="9"/>
        <v>0</v>
      </c>
      <c r="AH20" s="128"/>
      <c r="AI20" s="12">
        <f t="shared" si="0"/>
        <v>0</v>
      </c>
      <c r="AJ20" s="128"/>
      <c r="AK20" s="12">
        <f t="shared" si="1"/>
        <v>0</v>
      </c>
      <c r="AL20" s="16">
        <f t="shared" si="2"/>
        <v>1964</v>
      </c>
      <c r="AM20" s="15">
        <f t="shared" si="10"/>
        <v>26518.587499999998</v>
      </c>
      <c r="AN20" s="15">
        <f t="shared" ref="AN20" si="22">SUM(AM20*13)</f>
        <v>344741.63749999995</v>
      </c>
      <c r="AO20" s="17">
        <v>1</v>
      </c>
      <c r="AP20" s="18">
        <f t="shared" si="11"/>
        <v>24554.587499999998</v>
      </c>
      <c r="AQ20" s="19">
        <f t="shared" si="12"/>
        <v>369296.22499999998</v>
      </c>
    </row>
    <row r="21" spans="1:43" s="20" customFormat="1" ht="12.75" customHeight="1">
      <c r="A21" s="11">
        <v>11</v>
      </c>
      <c r="B21" s="21" t="s">
        <v>49</v>
      </c>
      <c r="C21" s="21" t="s">
        <v>45</v>
      </c>
      <c r="D21" s="11" t="s">
        <v>30</v>
      </c>
      <c r="E21" s="12" t="s">
        <v>122</v>
      </c>
      <c r="F21" s="21">
        <v>2</v>
      </c>
      <c r="G21" s="21" t="s">
        <v>144</v>
      </c>
      <c r="H21" s="21">
        <v>4.07</v>
      </c>
      <c r="I21" s="22"/>
      <c r="J21" s="68"/>
      <c r="K21" s="128">
        <v>1</v>
      </c>
      <c r="L21" s="24">
        <v>18006.7</v>
      </c>
      <c r="M21" s="24">
        <f t="shared" si="3"/>
        <v>18006.7</v>
      </c>
      <c r="N21" s="25">
        <v>25</v>
      </c>
      <c r="O21" s="24">
        <f t="shared" si="4"/>
        <v>4501.6750000000002</v>
      </c>
      <c r="P21" s="24">
        <f t="shared" si="5"/>
        <v>22508.375</v>
      </c>
      <c r="Q21" s="12">
        <v>0</v>
      </c>
      <c r="R21" s="22">
        <f t="shared" si="20"/>
        <v>0</v>
      </c>
      <c r="S21" s="22"/>
      <c r="T21" s="22">
        <f t="shared" si="21"/>
        <v>0</v>
      </c>
      <c r="U21" s="25"/>
      <c r="V21" s="22">
        <f t="shared" ref="V21:V23" si="23">SUM($H$6*3.5/100)*U21</f>
        <v>0</v>
      </c>
      <c r="W21" s="12">
        <v>13</v>
      </c>
      <c r="X21" s="22"/>
      <c r="Y21" s="16">
        <v>1801</v>
      </c>
      <c r="Z21" s="16"/>
      <c r="AA21" s="12">
        <v>13</v>
      </c>
      <c r="AB21" s="22"/>
      <c r="AC21" s="24">
        <f t="shared" si="7"/>
        <v>0</v>
      </c>
      <c r="AD21" s="22"/>
      <c r="AE21" s="24">
        <f t="shared" si="8"/>
        <v>0</v>
      </c>
      <c r="AF21" s="22"/>
      <c r="AG21" s="24">
        <f t="shared" si="9"/>
        <v>0</v>
      </c>
      <c r="AH21" s="25"/>
      <c r="AI21" s="22">
        <f t="shared" si="0"/>
        <v>0</v>
      </c>
      <c r="AJ21" s="25"/>
      <c r="AK21" s="22">
        <f t="shared" si="1"/>
        <v>0</v>
      </c>
      <c r="AL21" s="16">
        <f t="shared" si="2"/>
        <v>1801</v>
      </c>
      <c r="AM21" s="15">
        <f t="shared" si="10"/>
        <v>24309.375</v>
      </c>
      <c r="AN21" s="24">
        <f>SUM(AM21*13)</f>
        <v>316021.875</v>
      </c>
      <c r="AO21" s="26">
        <v>1</v>
      </c>
      <c r="AP21" s="18">
        <f t="shared" si="11"/>
        <v>22508.375</v>
      </c>
      <c r="AQ21" s="19">
        <f t="shared" si="12"/>
        <v>338530.25</v>
      </c>
    </row>
    <row r="22" spans="1:43" s="20" customFormat="1" ht="12.75" customHeight="1">
      <c r="A22" s="11">
        <v>12</v>
      </c>
      <c r="B22" s="11" t="s">
        <v>50</v>
      </c>
      <c r="C22" s="11" t="s">
        <v>45</v>
      </c>
      <c r="D22" s="11" t="s">
        <v>37</v>
      </c>
      <c r="E22" s="12" t="s">
        <v>51</v>
      </c>
      <c r="F22" s="11">
        <v>1</v>
      </c>
      <c r="G22" s="13" t="s">
        <v>135</v>
      </c>
      <c r="H22" s="11">
        <v>4.3899999999999997</v>
      </c>
      <c r="I22" s="27"/>
      <c r="J22" s="10"/>
      <c r="K22" s="128">
        <v>1</v>
      </c>
      <c r="L22" s="15">
        <v>19422.46</v>
      </c>
      <c r="M22" s="15">
        <f t="shared" si="3"/>
        <v>19422.46</v>
      </c>
      <c r="N22" s="125">
        <v>25</v>
      </c>
      <c r="O22" s="15">
        <f t="shared" si="4"/>
        <v>4855.6149999999998</v>
      </c>
      <c r="P22" s="15">
        <f t="shared" si="5"/>
        <v>24278.074999999997</v>
      </c>
      <c r="Q22" s="12">
        <v>0</v>
      </c>
      <c r="R22" s="12">
        <f t="shared" si="20"/>
        <v>0</v>
      </c>
      <c r="S22" s="12"/>
      <c r="T22" s="12">
        <f t="shared" si="21"/>
        <v>0</v>
      </c>
      <c r="U22" s="128"/>
      <c r="V22" s="12">
        <f t="shared" si="23"/>
        <v>0</v>
      </c>
      <c r="W22" s="12">
        <v>14</v>
      </c>
      <c r="X22" s="12"/>
      <c r="Y22" s="16">
        <v>1942</v>
      </c>
      <c r="Z22" s="16"/>
      <c r="AA22" s="12">
        <v>14</v>
      </c>
      <c r="AB22" s="12"/>
      <c r="AC22" s="15">
        <f t="shared" si="7"/>
        <v>0</v>
      </c>
      <c r="AD22" s="12"/>
      <c r="AE22" s="15">
        <f t="shared" si="8"/>
        <v>0</v>
      </c>
      <c r="AF22" s="12"/>
      <c r="AG22" s="15">
        <f t="shared" si="9"/>
        <v>0</v>
      </c>
      <c r="AH22" s="128"/>
      <c r="AI22" s="12">
        <f t="shared" si="0"/>
        <v>0</v>
      </c>
      <c r="AJ22" s="128"/>
      <c r="AK22" s="12">
        <f t="shared" si="1"/>
        <v>0</v>
      </c>
      <c r="AL22" s="16">
        <f t="shared" si="2"/>
        <v>1942</v>
      </c>
      <c r="AM22" s="15">
        <f t="shared" si="10"/>
        <v>26220.074999999997</v>
      </c>
      <c r="AN22" s="15">
        <f t="shared" si="19"/>
        <v>340860.97499999998</v>
      </c>
      <c r="AO22" s="17">
        <v>1</v>
      </c>
      <c r="AP22" s="18">
        <f t="shared" si="11"/>
        <v>24278.074999999997</v>
      </c>
      <c r="AQ22" s="19">
        <f t="shared" si="12"/>
        <v>365139.05</v>
      </c>
    </row>
    <row r="23" spans="1:43" s="20" customFormat="1" ht="12.75" customHeight="1">
      <c r="A23" s="11">
        <v>13</v>
      </c>
      <c r="B23" s="21" t="s">
        <v>52</v>
      </c>
      <c r="C23" s="21" t="s">
        <v>45</v>
      </c>
      <c r="D23" s="21" t="s">
        <v>37</v>
      </c>
      <c r="E23" s="22" t="s">
        <v>51</v>
      </c>
      <c r="F23" s="21">
        <v>1</v>
      </c>
      <c r="G23" s="21" t="s">
        <v>142</v>
      </c>
      <c r="H23" s="21">
        <v>4.32</v>
      </c>
      <c r="I23" s="22"/>
      <c r="J23" s="28"/>
      <c r="K23" s="128">
        <v>1</v>
      </c>
      <c r="L23" s="24">
        <v>19112.759999999998</v>
      </c>
      <c r="M23" s="24">
        <f t="shared" si="3"/>
        <v>19112.759999999998</v>
      </c>
      <c r="N23" s="25">
        <v>25</v>
      </c>
      <c r="O23" s="24">
        <f t="shared" si="4"/>
        <v>4778.1899999999996</v>
      </c>
      <c r="P23" s="24">
        <f t="shared" si="5"/>
        <v>23890.949999999997</v>
      </c>
      <c r="Q23" s="12">
        <v>0</v>
      </c>
      <c r="R23" s="22">
        <f t="shared" si="20"/>
        <v>0</v>
      </c>
      <c r="S23" s="22"/>
      <c r="T23" s="22">
        <f t="shared" si="21"/>
        <v>0</v>
      </c>
      <c r="U23" s="25"/>
      <c r="V23" s="22">
        <f t="shared" si="23"/>
        <v>0</v>
      </c>
      <c r="W23" s="12">
        <v>15</v>
      </c>
      <c r="X23" s="22"/>
      <c r="Y23" s="16">
        <v>1911</v>
      </c>
      <c r="Z23" s="16"/>
      <c r="AA23" s="12">
        <v>15</v>
      </c>
      <c r="AB23" s="22"/>
      <c r="AC23" s="24">
        <f t="shared" si="7"/>
        <v>0</v>
      </c>
      <c r="AD23" s="22"/>
      <c r="AE23" s="24">
        <f t="shared" si="8"/>
        <v>0</v>
      </c>
      <c r="AF23" s="22"/>
      <c r="AG23" s="24">
        <f t="shared" si="9"/>
        <v>0</v>
      </c>
      <c r="AH23" s="25"/>
      <c r="AI23" s="22">
        <f t="shared" si="0"/>
        <v>0</v>
      </c>
      <c r="AJ23" s="25"/>
      <c r="AK23" s="22">
        <f t="shared" si="1"/>
        <v>0</v>
      </c>
      <c r="AL23" s="16">
        <f t="shared" si="2"/>
        <v>1911</v>
      </c>
      <c r="AM23" s="15">
        <f t="shared" si="10"/>
        <v>25801.949999999997</v>
      </c>
      <c r="AN23" s="24">
        <f>SUM(AM23*13)</f>
        <v>335425.34999999998</v>
      </c>
      <c r="AO23" s="26">
        <v>1</v>
      </c>
      <c r="AP23" s="18">
        <f t="shared" si="11"/>
        <v>23890.949999999997</v>
      </c>
      <c r="AQ23" s="19">
        <f t="shared" si="12"/>
        <v>359316.3</v>
      </c>
    </row>
    <row r="24" spans="1:43" s="35" customFormat="1" ht="12.75" customHeight="1">
      <c r="A24" s="11">
        <v>14</v>
      </c>
      <c r="B24" s="29" t="s">
        <v>53</v>
      </c>
      <c r="C24" s="29" t="s">
        <v>45</v>
      </c>
      <c r="D24" s="29" t="s">
        <v>37</v>
      </c>
      <c r="E24" s="10" t="s">
        <v>54</v>
      </c>
      <c r="F24" s="29">
        <v>1</v>
      </c>
      <c r="G24" s="30" t="s">
        <v>136</v>
      </c>
      <c r="H24" s="29">
        <v>4.3899999999999997</v>
      </c>
      <c r="I24" s="10"/>
      <c r="J24" s="10"/>
      <c r="K24" s="128">
        <v>1</v>
      </c>
      <c r="L24" s="31">
        <v>19422.46</v>
      </c>
      <c r="M24" s="31">
        <f t="shared" si="3"/>
        <v>19422.46</v>
      </c>
      <c r="N24" s="128">
        <v>25</v>
      </c>
      <c r="O24" s="31">
        <f t="shared" si="4"/>
        <v>4855.6149999999998</v>
      </c>
      <c r="P24" s="31">
        <f t="shared" si="5"/>
        <v>24278.074999999997</v>
      </c>
      <c r="Q24" s="10">
        <v>0</v>
      </c>
      <c r="R24" s="10">
        <f t="shared" si="17"/>
        <v>0</v>
      </c>
      <c r="S24" s="10"/>
      <c r="T24" s="10">
        <f t="shared" si="21"/>
        <v>0</v>
      </c>
      <c r="U24" s="128"/>
      <c r="V24" s="10">
        <f t="shared" si="6"/>
        <v>0</v>
      </c>
      <c r="W24" s="12">
        <v>16</v>
      </c>
      <c r="X24" s="10"/>
      <c r="Y24" s="32">
        <v>1942</v>
      </c>
      <c r="Z24" s="32"/>
      <c r="AA24" s="12">
        <v>16</v>
      </c>
      <c r="AB24" s="10"/>
      <c r="AC24" s="31">
        <f t="shared" si="7"/>
        <v>0</v>
      </c>
      <c r="AD24" s="10"/>
      <c r="AE24" s="31">
        <f>SUM($H$6*0.6)*AD24</f>
        <v>0</v>
      </c>
      <c r="AF24" s="10"/>
      <c r="AG24" s="31">
        <f t="shared" si="9"/>
        <v>0</v>
      </c>
      <c r="AH24" s="128"/>
      <c r="AI24" s="10">
        <f t="shared" si="0"/>
        <v>0</v>
      </c>
      <c r="AJ24" s="128"/>
      <c r="AK24" s="10">
        <f t="shared" si="1"/>
        <v>0</v>
      </c>
      <c r="AL24" s="31">
        <f t="shared" si="2"/>
        <v>1942</v>
      </c>
      <c r="AM24" s="15">
        <f t="shared" si="10"/>
        <v>26220.074999999997</v>
      </c>
      <c r="AN24" s="31">
        <f t="shared" si="19"/>
        <v>340860.97499999998</v>
      </c>
      <c r="AO24" s="33">
        <v>1</v>
      </c>
      <c r="AP24" s="18">
        <f t="shared" si="11"/>
        <v>24278.074999999997</v>
      </c>
      <c r="AQ24" s="34">
        <f t="shared" si="12"/>
        <v>365139.05</v>
      </c>
    </row>
    <row r="25" spans="1:43" s="20" customFormat="1" ht="12.75" customHeight="1">
      <c r="A25" s="11">
        <v>15</v>
      </c>
      <c r="B25" s="11" t="s">
        <v>55</v>
      </c>
      <c r="C25" s="11" t="s">
        <v>45</v>
      </c>
      <c r="D25" s="13" t="s">
        <v>37</v>
      </c>
      <c r="E25" s="12" t="s">
        <v>51</v>
      </c>
      <c r="F25" s="11">
        <v>1</v>
      </c>
      <c r="G25" s="13" t="s">
        <v>146</v>
      </c>
      <c r="H25" s="14">
        <v>4.32</v>
      </c>
      <c r="I25" s="12"/>
      <c r="J25" s="15"/>
      <c r="K25" s="128">
        <v>1</v>
      </c>
      <c r="L25" s="15">
        <v>19112.759999999998</v>
      </c>
      <c r="M25" s="15">
        <f t="shared" si="3"/>
        <v>19112.759999999998</v>
      </c>
      <c r="N25" s="128">
        <v>25</v>
      </c>
      <c r="O25" s="15">
        <f t="shared" si="4"/>
        <v>4778.1899999999996</v>
      </c>
      <c r="P25" s="15">
        <f t="shared" si="5"/>
        <v>23890.949999999997</v>
      </c>
      <c r="Q25" s="12">
        <v>0</v>
      </c>
      <c r="R25" s="12">
        <f>SUM($H$6*Q25/100)</f>
        <v>0</v>
      </c>
      <c r="S25" s="12"/>
      <c r="T25" s="12">
        <f>SUM($H$6*S25/100/2)</f>
        <v>0</v>
      </c>
      <c r="U25" s="128"/>
      <c r="V25" s="12">
        <f t="shared" ref="V25" si="24">SUM($H$6*3.5/100)*U25</f>
        <v>0</v>
      </c>
      <c r="W25" s="12">
        <v>17</v>
      </c>
      <c r="X25" s="12"/>
      <c r="Y25" s="16">
        <v>1911</v>
      </c>
      <c r="Z25" s="16"/>
      <c r="AA25" s="12">
        <v>17</v>
      </c>
      <c r="AB25" s="12"/>
      <c r="AC25" s="15">
        <f t="shared" si="7"/>
        <v>0</v>
      </c>
      <c r="AD25" s="12"/>
      <c r="AE25" s="15">
        <f t="shared" ref="AE25" si="25">SUM($H$6*0.3)*AD25</f>
        <v>0</v>
      </c>
      <c r="AF25" s="12"/>
      <c r="AG25" s="15">
        <f t="shared" si="9"/>
        <v>0</v>
      </c>
      <c r="AH25" s="128"/>
      <c r="AI25" s="12">
        <f t="shared" si="0"/>
        <v>0</v>
      </c>
      <c r="AJ25" s="128"/>
      <c r="AK25" s="12">
        <f t="shared" si="1"/>
        <v>0</v>
      </c>
      <c r="AL25" s="16">
        <f t="shared" si="2"/>
        <v>1911</v>
      </c>
      <c r="AM25" s="15">
        <f t="shared" si="10"/>
        <v>25801.949999999997</v>
      </c>
      <c r="AN25" s="15">
        <f t="shared" ref="AN25" si="26">SUM(AM25*12)</f>
        <v>309623.39999999997</v>
      </c>
      <c r="AO25" s="17">
        <v>1</v>
      </c>
      <c r="AP25" s="18">
        <f t="shared" si="11"/>
        <v>23890.949999999997</v>
      </c>
      <c r="AQ25" s="19">
        <f t="shared" si="12"/>
        <v>333514.34999999998</v>
      </c>
    </row>
    <row r="26" spans="1:43" s="20" customFormat="1" ht="12.75" customHeight="1">
      <c r="A26" s="11">
        <v>16</v>
      </c>
      <c r="B26" s="11" t="s">
        <v>56</v>
      </c>
      <c r="C26" s="11" t="s">
        <v>45</v>
      </c>
      <c r="D26" s="13" t="s">
        <v>37</v>
      </c>
      <c r="E26" s="12" t="s">
        <v>57</v>
      </c>
      <c r="F26" s="11">
        <v>2</v>
      </c>
      <c r="G26" s="13" t="s">
        <v>139</v>
      </c>
      <c r="H26" s="11">
        <v>3.97</v>
      </c>
      <c r="I26" s="12"/>
      <c r="J26" s="12"/>
      <c r="K26" s="128">
        <v>1</v>
      </c>
      <c r="L26" s="15">
        <v>17564.27</v>
      </c>
      <c r="M26" s="15">
        <f t="shared" si="3"/>
        <v>17564.27</v>
      </c>
      <c r="N26" s="128">
        <v>25</v>
      </c>
      <c r="O26" s="15">
        <f t="shared" si="4"/>
        <v>4391.0675000000001</v>
      </c>
      <c r="P26" s="15">
        <f t="shared" si="5"/>
        <v>21955.337500000001</v>
      </c>
      <c r="Q26" s="12">
        <v>0</v>
      </c>
      <c r="R26" s="12">
        <f t="shared" ref="R26" si="27">SUM($H$6*Q26/100)</f>
        <v>0</v>
      </c>
      <c r="S26" s="12"/>
      <c r="T26" s="12">
        <f t="shared" ref="T26" si="28">SUM($H$6*S26/100)</f>
        <v>0</v>
      </c>
      <c r="U26" s="128"/>
      <c r="V26" s="12">
        <f t="shared" ref="V26" si="29">SUM($H$6*3.5/100)*U26</f>
        <v>0</v>
      </c>
      <c r="W26" s="12">
        <v>18</v>
      </c>
      <c r="X26" s="12"/>
      <c r="Y26" s="16">
        <v>1756</v>
      </c>
      <c r="Z26" s="16"/>
      <c r="AA26" s="12">
        <v>18</v>
      </c>
      <c r="AB26" s="12"/>
      <c r="AC26" s="15">
        <f t="shared" si="7"/>
        <v>0</v>
      </c>
      <c r="AD26" s="12"/>
      <c r="AE26" s="15">
        <f>SUM($H$6*0.6)*AD26</f>
        <v>0</v>
      </c>
      <c r="AF26" s="12"/>
      <c r="AG26" s="15">
        <f t="shared" si="9"/>
        <v>0</v>
      </c>
      <c r="AH26" s="128"/>
      <c r="AI26" s="12">
        <f t="shared" si="0"/>
        <v>0</v>
      </c>
      <c r="AJ26" s="128"/>
      <c r="AK26" s="12">
        <f t="shared" si="1"/>
        <v>0</v>
      </c>
      <c r="AL26" s="16">
        <f t="shared" si="2"/>
        <v>1756</v>
      </c>
      <c r="AM26" s="15">
        <f t="shared" si="10"/>
        <v>23711.337500000001</v>
      </c>
      <c r="AN26" s="15">
        <f t="shared" ref="AN26" si="30">SUM(AM26*13)</f>
        <v>308247.38750000001</v>
      </c>
      <c r="AO26" s="17">
        <v>1</v>
      </c>
      <c r="AP26" s="18">
        <f t="shared" si="11"/>
        <v>21955.337500000001</v>
      </c>
      <c r="AQ26" s="19">
        <f t="shared" si="12"/>
        <v>330202.72500000003</v>
      </c>
    </row>
    <row r="27" spans="1:43" s="20" customFormat="1" ht="12.75" customHeight="1">
      <c r="A27" s="11">
        <v>17</v>
      </c>
      <c r="B27" s="11" t="s">
        <v>55</v>
      </c>
      <c r="C27" s="11" t="s">
        <v>58</v>
      </c>
      <c r="D27" s="13" t="s">
        <v>37</v>
      </c>
      <c r="E27" s="12" t="s">
        <v>59</v>
      </c>
      <c r="F27" s="11"/>
      <c r="G27" s="13" t="s">
        <v>146</v>
      </c>
      <c r="H27" s="14">
        <v>3.69</v>
      </c>
      <c r="I27" s="12"/>
      <c r="J27" s="15"/>
      <c r="K27" s="128">
        <v>0.5</v>
      </c>
      <c r="L27" s="15">
        <v>8162.74</v>
      </c>
      <c r="M27" s="15">
        <f t="shared" si="3"/>
        <v>8162.74</v>
      </c>
      <c r="N27" s="128">
        <v>25</v>
      </c>
      <c r="O27" s="15">
        <f t="shared" si="4"/>
        <v>2040.6849999999999</v>
      </c>
      <c r="P27" s="15">
        <f t="shared" si="5"/>
        <v>10203.424999999999</v>
      </c>
      <c r="Q27" s="12">
        <v>0</v>
      </c>
      <c r="R27" s="15">
        <f>SUM($H$6*Q27/100/2)</f>
        <v>0</v>
      </c>
      <c r="S27" s="12"/>
      <c r="T27" s="12">
        <f>SUM($H$6*S27/100/2)</f>
        <v>0</v>
      </c>
      <c r="U27" s="128"/>
      <c r="V27" s="12">
        <f t="shared" ref="V27" si="31">SUM($H$6*3.5/100)*U27</f>
        <v>0</v>
      </c>
      <c r="W27" s="12">
        <v>19</v>
      </c>
      <c r="X27" s="12"/>
      <c r="Y27" s="16">
        <v>816</v>
      </c>
      <c r="Z27" s="16"/>
      <c r="AA27" s="12">
        <v>19</v>
      </c>
      <c r="AB27" s="12"/>
      <c r="AC27" s="15">
        <f t="shared" si="7"/>
        <v>0</v>
      </c>
      <c r="AD27" s="12"/>
      <c r="AE27" s="15">
        <f t="shared" si="8"/>
        <v>0</v>
      </c>
      <c r="AF27" s="12"/>
      <c r="AG27" s="15">
        <f t="shared" si="9"/>
        <v>0</v>
      </c>
      <c r="AH27" s="128"/>
      <c r="AI27" s="12">
        <f t="shared" si="0"/>
        <v>0</v>
      </c>
      <c r="AJ27" s="128"/>
      <c r="AK27" s="12">
        <f t="shared" si="1"/>
        <v>0</v>
      </c>
      <c r="AL27" s="16">
        <f t="shared" si="2"/>
        <v>816</v>
      </c>
      <c r="AM27" s="15">
        <f t="shared" si="10"/>
        <v>11019.424999999999</v>
      </c>
      <c r="AN27" s="15">
        <f t="shared" ref="AN27" si="32">SUM(AM27*12)</f>
        <v>132233.09999999998</v>
      </c>
      <c r="AO27" s="17">
        <v>0.5</v>
      </c>
      <c r="AP27" s="18">
        <f t="shared" si="11"/>
        <v>10203.424999999999</v>
      </c>
      <c r="AQ27" s="19">
        <f t="shared" si="12"/>
        <v>142436.52499999997</v>
      </c>
    </row>
    <row r="28" spans="1:43" s="20" customFormat="1">
      <c r="A28" s="36"/>
      <c r="B28" s="36" t="s">
        <v>84</v>
      </c>
      <c r="C28" s="36"/>
      <c r="D28" s="36"/>
      <c r="E28" s="36"/>
      <c r="F28" s="36"/>
      <c r="G28" s="36"/>
      <c r="H28" s="36"/>
      <c r="I28" s="37">
        <f t="shared" ref="I28:V28" si="33">SUM(I11:I27)</f>
        <v>0</v>
      </c>
      <c r="J28" s="37">
        <f t="shared" si="33"/>
        <v>0</v>
      </c>
      <c r="K28" s="37">
        <f t="shared" si="33"/>
        <v>14.5</v>
      </c>
      <c r="L28" s="37">
        <f t="shared" si="33"/>
        <v>289357.03000000003</v>
      </c>
      <c r="M28" s="37">
        <f t="shared" si="33"/>
        <v>289357.03000000003</v>
      </c>
      <c r="N28" s="37">
        <f t="shared" si="33"/>
        <v>425</v>
      </c>
      <c r="O28" s="37">
        <f t="shared" si="33"/>
        <v>72339.257500000007</v>
      </c>
      <c r="P28" s="37">
        <f t="shared" si="33"/>
        <v>361696.28750000003</v>
      </c>
      <c r="Q28" s="37">
        <f t="shared" si="33"/>
        <v>0</v>
      </c>
      <c r="R28" s="37">
        <f t="shared" si="33"/>
        <v>0</v>
      </c>
      <c r="S28" s="37">
        <f t="shared" si="33"/>
        <v>0</v>
      </c>
      <c r="T28" s="37">
        <f t="shared" si="33"/>
        <v>0</v>
      </c>
      <c r="U28" s="37">
        <f t="shared" si="33"/>
        <v>0</v>
      </c>
      <c r="V28" s="37">
        <f t="shared" si="33"/>
        <v>0</v>
      </c>
      <c r="W28" s="37"/>
      <c r="X28" s="37">
        <f>SUM(X11:X27)</f>
        <v>0</v>
      </c>
      <c r="Y28" s="37">
        <f>SUM(Y11:Y27)</f>
        <v>28933</v>
      </c>
      <c r="Z28" s="37"/>
      <c r="AA28" s="37"/>
      <c r="AB28" s="37">
        <f t="shared" ref="AB28:AQ28" si="34">SUM(AB11:AB27)</f>
        <v>0</v>
      </c>
      <c r="AC28" s="37">
        <f t="shared" si="34"/>
        <v>0</v>
      </c>
      <c r="AD28" s="37">
        <f t="shared" si="34"/>
        <v>0</v>
      </c>
      <c r="AE28" s="37">
        <f t="shared" si="34"/>
        <v>0</v>
      </c>
      <c r="AF28" s="37">
        <f t="shared" si="34"/>
        <v>0</v>
      </c>
      <c r="AG28" s="37">
        <f t="shared" si="34"/>
        <v>0</v>
      </c>
      <c r="AH28" s="37">
        <f t="shared" si="34"/>
        <v>0</v>
      </c>
      <c r="AI28" s="37">
        <f t="shared" si="34"/>
        <v>0</v>
      </c>
      <c r="AJ28" s="37">
        <f t="shared" si="34"/>
        <v>0</v>
      </c>
      <c r="AK28" s="37">
        <f t="shared" si="34"/>
        <v>0</v>
      </c>
      <c r="AL28" s="37">
        <f t="shared" si="34"/>
        <v>28933</v>
      </c>
      <c r="AM28" s="85">
        <f t="shared" si="34"/>
        <v>390629.28750000003</v>
      </c>
      <c r="AN28" s="37">
        <f t="shared" si="34"/>
        <v>4857235.5999999996</v>
      </c>
      <c r="AO28" s="37">
        <f t="shared" si="34"/>
        <v>14.5</v>
      </c>
      <c r="AP28" s="38">
        <f t="shared" si="34"/>
        <v>361696.28750000003</v>
      </c>
      <c r="AQ28" s="37">
        <f t="shared" si="34"/>
        <v>5218931.8874999993</v>
      </c>
    </row>
    <row r="29" spans="1:43" s="20" customFormat="1">
      <c r="A29" s="43"/>
      <c r="B29" s="43"/>
      <c r="C29" s="43"/>
      <c r="D29" s="43"/>
      <c r="E29" s="43"/>
      <c r="F29" s="43"/>
      <c r="G29" s="43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86"/>
      <c r="AN29" s="44"/>
      <c r="AO29" s="44"/>
      <c r="AP29" s="45"/>
      <c r="AQ29" s="44"/>
    </row>
    <row r="30" spans="1:43" s="20" customFormat="1" ht="15.95" customHeight="1">
      <c r="B30" s="39" t="s">
        <v>85</v>
      </c>
      <c r="C30" s="39"/>
      <c r="D30" s="40" t="s">
        <v>160</v>
      </c>
      <c r="E30" s="39"/>
      <c r="AM30" s="87"/>
    </row>
    <row r="31" spans="1:43" s="20" customFormat="1" ht="15.95" customHeight="1">
      <c r="B31" s="39" t="s">
        <v>86</v>
      </c>
      <c r="C31" s="39"/>
      <c r="D31" s="40" t="s">
        <v>28</v>
      </c>
      <c r="E31" s="39"/>
      <c r="AM31" s="87"/>
    </row>
    <row r="32" spans="1:43" ht="15.95" customHeight="1">
      <c r="B32" s="39" t="s">
        <v>87</v>
      </c>
      <c r="C32" s="39"/>
      <c r="D32" s="39" t="s">
        <v>32</v>
      </c>
      <c r="E32" s="39"/>
    </row>
  </sheetData>
  <mergeCells count="37">
    <mergeCell ref="B5:D5"/>
    <mergeCell ref="B1:D1"/>
    <mergeCell ref="B2:D2"/>
    <mergeCell ref="M2:AI2"/>
    <mergeCell ref="B3:F3"/>
    <mergeCell ref="B4:F4"/>
    <mergeCell ref="B6:D6"/>
    <mergeCell ref="A7:A9"/>
    <mergeCell ref="B7:B9"/>
    <mergeCell ref="C7:C9"/>
    <mergeCell ref="D7:D9"/>
    <mergeCell ref="E8:E9"/>
    <mergeCell ref="F8:F9"/>
    <mergeCell ref="G8:G9"/>
    <mergeCell ref="H8:H9"/>
    <mergeCell ref="Q8:R8"/>
    <mergeCell ref="I7:I9"/>
    <mergeCell ref="J7:J9"/>
    <mergeCell ref="K7:L8"/>
    <mergeCell ref="M7:M9"/>
    <mergeCell ref="N7:O8"/>
    <mergeCell ref="P7:P9"/>
    <mergeCell ref="E7:F7"/>
    <mergeCell ref="Q7:AL7"/>
    <mergeCell ref="S8:T8"/>
    <mergeCell ref="U8:V8"/>
    <mergeCell ref="X8:Y8"/>
    <mergeCell ref="AO7:AP8"/>
    <mergeCell ref="AQ7:AQ9"/>
    <mergeCell ref="AH8:AI8"/>
    <mergeCell ref="AJ8:AK8"/>
    <mergeCell ref="AL8:AL9"/>
    <mergeCell ref="AB8:AC8"/>
    <mergeCell ref="AD8:AE8"/>
    <mergeCell ref="AF8:AG8"/>
    <mergeCell ref="AM7:AM9"/>
    <mergeCell ref="AN7:AN9"/>
  </mergeCells>
  <pageMargins left="0.39370078740157483" right="0.39370078740157483" top="0.43307086614173229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52"/>
  <sheetViews>
    <sheetView topLeftCell="A10" workbookViewId="0">
      <selection activeCell="S41" sqref="S41:S42"/>
    </sheetView>
  </sheetViews>
  <sheetFormatPr defaultColWidth="9.140625" defaultRowHeight="12.75"/>
  <cols>
    <col min="1" max="1" width="4.140625" style="46" customWidth="1"/>
    <col min="2" max="2" width="17.7109375" style="46" customWidth="1"/>
    <col min="3" max="3" width="8.42578125" style="46" customWidth="1"/>
    <col min="4" max="4" width="6.85546875" style="46" customWidth="1"/>
    <col min="5" max="5" width="6" style="46" customWidth="1"/>
    <col min="6" max="6" width="11.28515625" style="46" customWidth="1"/>
    <col min="7" max="7" width="7.5703125" style="46" customWidth="1"/>
    <col min="8" max="8" width="9.140625" style="46"/>
    <col min="9" max="9" width="10.7109375" style="46" customWidth="1"/>
    <col min="10" max="11" width="10.28515625" style="46" customWidth="1"/>
    <col min="12" max="12" width="10.42578125" style="46" customWidth="1"/>
    <col min="13" max="14" width="9.7109375" style="46" customWidth="1"/>
    <col min="15" max="16" width="10.140625" style="46" customWidth="1"/>
    <col min="17" max="17" width="9.140625" style="46" customWidth="1"/>
    <col min="18" max="18" width="9.140625" style="46"/>
    <col min="19" max="19" width="15.140625" style="46" customWidth="1"/>
    <col min="20" max="16384" width="9.140625" style="46"/>
  </cols>
  <sheetData>
    <row r="2" spans="1:19">
      <c r="B2" s="47" t="s">
        <v>91</v>
      </c>
      <c r="C2" s="48"/>
      <c r="D2" s="48"/>
      <c r="E2" s="78"/>
      <c r="F2" s="50"/>
      <c r="G2" s="49" t="s">
        <v>92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>
      <c r="B3" s="154" t="s">
        <v>124</v>
      </c>
      <c r="C3" s="154"/>
      <c r="D3" s="154"/>
      <c r="E3" s="154"/>
      <c r="F3" s="154"/>
      <c r="G3" s="79" t="s">
        <v>127</v>
      </c>
      <c r="H3" s="49"/>
      <c r="I3" s="49"/>
      <c r="J3" s="82"/>
      <c r="K3" s="49"/>
      <c r="L3" s="49"/>
      <c r="M3" s="49"/>
      <c r="N3" s="49"/>
      <c r="O3" s="49"/>
      <c r="P3" s="49"/>
      <c r="Q3" s="49"/>
      <c r="R3" s="49"/>
      <c r="S3" s="49"/>
    </row>
    <row r="4" spans="1:19" ht="12.75" customHeight="1">
      <c r="B4" s="154" t="s">
        <v>157</v>
      </c>
      <c r="C4" s="154"/>
      <c r="D4" s="154"/>
      <c r="E4" s="155"/>
      <c r="F4" s="155"/>
      <c r="G4" s="46" t="s">
        <v>93</v>
      </c>
      <c r="H4" s="51"/>
    </row>
    <row r="5" spans="1:19" ht="12.75" customHeight="1">
      <c r="B5" s="156" t="s">
        <v>158</v>
      </c>
      <c r="C5" s="156"/>
      <c r="D5" s="156"/>
      <c r="E5" s="131"/>
      <c r="F5" s="131"/>
      <c r="G5" s="49" t="s">
        <v>94</v>
      </c>
      <c r="H5" s="49"/>
      <c r="I5" s="49"/>
      <c r="J5" s="82"/>
      <c r="K5" s="49"/>
      <c r="L5" s="49"/>
      <c r="M5" s="49"/>
      <c r="N5" s="49"/>
      <c r="O5" s="49"/>
      <c r="P5" s="49"/>
      <c r="Q5" s="49"/>
      <c r="R5" s="49"/>
      <c r="S5" s="49"/>
    </row>
    <row r="6" spans="1:19">
      <c r="E6" s="51"/>
      <c r="F6" s="51"/>
      <c r="G6" s="51" t="s">
        <v>95</v>
      </c>
      <c r="H6" s="51"/>
      <c r="I6" s="51"/>
    </row>
    <row r="8" spans="1:19">
      <c r="A8" s="52"/>
      <c r="B8" s="53"/>
      <c r="C8" s="53"/>
      <c r="D8" s="53"/>
      <c r="E8" s="52"/>
      <c r="F8" s="52"/>
      <c r="G8" s="52"/>
      <c r="H8" s="53" t="s">
        <v>96</v>
      </c>
      <c r="I8" s="53" t="s">
        <v>97</v>
      </c>
      <c r="J8" s="53"/>
      <c r="K8" s="53"/>
      <c r="L8" s="157" t="s">
        <v>98</v>
      </c>
      <c r="M8" s="158"/>
      <c r="N8" s="158"/>
      <c r="O8" s="158"/>
      <c r="P8" s="158"/>
      <c r="Q8" s="158"/>
      <c r="R8" s="159"/>
      <c r="S8" s="53"/>
    </row>
    <row r="9" spans="1:19" ht="12.75" customHeight="1">
      <c r="A9" s="54" t="s">
        <v>99</v>
      </c>
      <c r="B9" s="55" t="s">
        <v>100</v>
      </c>
      <c r="C9" s="55" t="s">
        <v>101</v>
      </c>
      <c r="D9" s="55"/>
      <c r="E9" s="54" t="s">
        <v>102</v>
      </c>
      <c r="F9" s="56"/>
      <c r="G9" s="55" t="s">
        <v>103</v>
      </c>
      <c r="H9" s="55" t="s">
        <v>104</v>
      </c>
      <c r="I9" s="55" t="s">
        <v>105</v>
      </c>
      <c r="J9" s="57">
        <v>0.25</v>
      </c>
      <c r="K9" s="57">
        <v>0.25</v>
      </c>
      <c r="L9" s="160"/>
      <c r="M9" s="161"/>
      <c r="N9" s="161"/>
      <c r="O9" s="161"/>
      <c r="P9" s="161"/>
      <c r="Q9" s="161"/>
      <c r="R9" s="162"/>
      <c r="S9" s="55" t="s">
        <v>106</v>
      </c>
    </row>
    <row r="10" spans="1:19" ht="13.15" customHeight="1">
      <c r="A10" s="54" t="s">
        <v>107</v>
      </c>
      <c r="B10" s="55" t="s">
        <v>108</v>
      </c>
      <c r="C10" s="55" t="s">
        <v>109</v>
      </c>
      <c r="D10" s="55" t="s">
        <v>13</v>
      </c>
      <c r="E10" s="54" t="s">
        <v>110</v>
      </c>
      <c r="F10" s="55" t="s">
        <v>111</v>
      </c>
      <c r="G10" s="55" t="s">
        <v>112</v>
      </c>
      <c r="H10" s="55" t="s">
        <v>113</v>
      </c>
      <c r="I10" s="55" t="s">
        <v>114</v>
      </c>
      <c r="J10" s="58" t="s">
        <v>130</v>
      </c>
      <c r="K10" s="58" t="s">
        <v>115</v>
      </c>
      <c r="L10" s="59">
        <v>0.1</v>
      </c>
      <c r="M10" s="60">
        <v>0.2</v>
      </c>
      <c r="N10" s="61">
        <v>0.25</v>
      </c>
      <c r="O10" s="61">
        <v>0.3</v>
      </c>
      <c r="P10" s="61">
        <v>0.34</v>
      </c>
      <c r="Q10" s="62" t="s">
        <v>116</v>
      </c>
      <c r="R10" s="62" t="s">
        <v>117</v>
      </c>
      <c r="S10" s="55" t="s">
        <v>118</v>
      </c>
    </row>
    <row r="11" spans="1:19">
      <c r="A11" s="54"/>
      <c r="B11" s="55"/>
      <c r="C11" s="55"/>
      <c r="D11" s="63"/>
      <c r="E11" s="64"/>
      <c r="F11" s="55"/>
      <c r="G11" s="63"/>
      <c r="H11" s="55"/>
      <c r="I11" s="63"/>
      <c r="J11" s="65" t="s">
        <v>131</v>
      </c>
      <c r="K11" s="65"/>
      <c r="L11" s="65"/>
      <c r="M11" s="63"/>
      <c r="N11" s="66"/>
      <c r="O11" s="66"/>
      <c r="P11" s="66"/>
      <c r="Q11" s="66"/>
      <c r="R11" s="66" t="s">
        <v>119</v>
      </c>
      <c r="S11" s="63" t="s">
        <v>120</v>
      </c>
    </row>
    <row r="12" spans="1:19" ht="12.75" customHeight="1">
      <c r="A12" s="64">
        <v>1</v>
      </c>
      <c r="B12" s="88" t="s">
        <v>29</v>
      </c>
      <c r="C12" s="88" t="s">
        <v>30</v>
      </c>
      <c r="D12" s="89" t="s">
        <v>31</v>
      </c>
      <c r="E12" s="88"/>
      <c r="F12" s="90" t="s">
        <v>132</v>
      </c>
      <c r="G12" s="91">
        <v>5.91</v>
      </c>
      <c r="H12" s="89">
        <v>1</v>
      </c>
      <c r="I12" s="92">
        <f>SUM(G12*17697)</f>
        <v>104589.27</v>
      </c>
      <c r="J12" s="92">
        <f>SUM(I12*25%)</f>
        <v>26147.317500000001</v>
      </c>
      <c r="K12" s="92">
        <f>SUM((I12+J12)*25%)</f>
        <v>32684.146875000002</v>
      </c>
      <c r="L12" s="93">
        <v>13074</v>
      </c>
      <c r="M12" s="94"/>
      <c r="N12" s="94"/>
      <c r="O12" s="95">
        <v>0</v>
      </c>
      <c r="P12" s="96"/>
      <c r="Q12" s="97"/>
      <c r="R12" s="98"/>
      <c r="S12" s="92">
        <f>I12+J12+K12+L12+M12+Q12+R12</f>
        <v>176494.734375</v>
      </c>
    </row>
    <row r="13" spans="1:19" ht="12.75" customHeight="1">
      <c r="A13" s="64">
        <v>2</v>
      </c>
      <c r="B13" s="88" t="s">
        <v>33</v>
      </c>
      <c r="C13" s="88" t="s">
        <v>30</v>
      </c>
      <c r="D13" s="89" t="s">
        <v>34</v>
      </c>
      <c r="E13" s="89"/>
      <c r="F13" s="90" t="s">
        <v>148</v>
      </c>
      <c r="G13" s="88">
        <v>4.71</v>
      </c>
      <c r="H13" s="89">
        <v>0.5</v>
      </c>
      <c r="I13" s="92">
        <f>SUM(G13*H13*17697)</f>
        <v>41676.434999999998</v>
      </c>
      <c r="J13" s="92"/>
      <c r="K13" s="92"/>
      <c r="L13" s="93">
        <v>4167</v>
      </c>
      <c r="M13" s="94"/>
      <c r="N13" s="94"/>
      <c r="O13" s="95">
        <v>0</v>
      </c>
      <c r="P13" s="96"/>
      <c r="Q13" s="97"/>
      <c r="R13" s="98"/>
      <c r="S13" s="92">
        <f t="shared" ref="S13:S19" si="0">I13+J13+K13+L13+M13+Q13+R13</f>
        <v>45843.434999999998</v>
      </c>
    </row>
    <row r="14" spans="1:19" ht="12.75" customHeight="1">
      <c r="A14" s="64">
        <v>3</v>
      </c>
      <c r="B14" s="88" t="s">
        <v>36</v>
      </c>
      <c r="C14" s="90" t="s">
        <v>37</v>
      </c>
      <c r="D14" s="89" t="s">
        <v>140</v>
      </c>
      <c r="E14" s="88">
        <v>1</v>
      </c>
      <c r="F14" s="90" t="s">
        <v>141</v>
      </c>
      <c r="G14" s="88">
        <v>5.2</v>
      </c>
      <c r="H14" s="89">
        <v>0.25</v>
      </c>
      <c r="I14" s="92">
        <f t="shared" ref="I14:I47" si="1">SUM(G14*H14*17697)</f>
        <v>23006.100000000002</v>
      </c>
      <c r="J14" s="92">
        <f t="shared" ref="J14:J29" si="2">SUM(I14*25%)</f>
        <v>5751.5250000000005</v>
      </c>
      <c r="K14" s="92">
        <f t="shared" ref="K14:K29" si="3">SUM((I14+J14)*25%)</f>
        <v>7189.4062500000009</v>
      </c>
      <c r="L14" s="89">
        <v>2876</v>
      </c>
      <c r="M14" s="94"/>
      <c r="N14" s="94"/>
      <c r="O14" s="95">
        <v>0</v>
      </c>
      <c r="P14" s="96"/>
      <c r="Q14" s="97"/>
      <c r="R14" s="98"/>
      <c r="S14" s="92">
        <f t="shared" si="0"/>
        <v>38823.031250000007</v>
      </c>
    </row>
    <row r="15" spans="1:19" ht="12.75" customHeight="1">
      <c r="A15" s="64">
        <v>4</v>
      </c>
      <c r="B15" s="88" t="s">
        <v>38</v>
      </c>
      <c r="C15" s="90" t="s">
        <v>30</v>
      </c>
      <c r="D15" s="89" t="s">
        <v>140</v>
      </c>
      <c r="E15" s="88">
        <v>1</v>
      </c>
      <c r="F15" s="90" t="s">
        <v>141</v>
      </c>
      <c r="G15" s="88">
        <v>5.2</v>
      </c>
      <c r="H15" s="89">
        <v>1</v>
      </c>
      <c r="I15" s="92">
        <f t="shared" si="1"/>
        <v>92024.400000000009</v>
      </c>
      <c r="J15" s="92">
        <f t="shared" si="2"/>
        <v>23006.100000000002</v>
      </c>
      <c r="K15" s="92">
        <f t="shared" si="3"/>
        <v>28757.625000000004</v>
      </c>
      <c r="L15" s="89">
        <v>11503</v>
      </c>
      <c r="M15" s="94"/>
      <c r="N15" s="94"/>
      <c r="O15" s="95">
        <v>0</v>
      </c>
      <c r="P15" s="96"/>
      <c r="Q15" s="97"/>
      <c r="R15" s="98"/>
      <c r="S15" s="92">
        <f t="shared" si="0"/>
        <v>155291.12500000003</v>
      </c>
    </row>
    <row r="16" spans="1:19" ht="12.75" customHeight="1">
      <c r="A16" s="64">
        <v>5</v>
      </c>
      <c r="B16" s="88" t="s">
        <v>40</v>
      </c>
      <c r="C16" s="88" t="s">
        <v>30</v>
      </c>
      <c r="D16" s="89" t="s">
        <v>41</v>
      </c>
      <c r="E16" s="88">
        <v>1</v>
      </c>
      <c r="F16" s="90" t="s">
        <v>134</v>
      </c>
      <c r="G16" s="88">
        <v>4.51</v>
      </c>
      <c r="H16" s="89">
        <v>0.75</v>
      </c>
      <c r="I16" s="92">
        <f t="shared" ref="I16" si="4">SUM(G16*H16*17697)</f>
        <v>59860.102499999994</v>
      </c>
      <c r="J16" s="92">
        <f t="shared" si="2"/>
        <v>14965.025624999998</v>
      </c>
      <c r="K16" s="92">
        <f t="shared" si="3"/>
        <v>18706.282031249997</v>
      </c>
      <c r="L16" s="93">
        <v>7483</v>
      </c>
      <c r="M16" s="94"/>
      <c r="N16" s="94"/>
      <c r="O16" s="95">
        <v>0</v>
      </c>
      <c r="P16" s="96"/>
      <c r="Q16" s="97"/>
      <c r="R16" s="98"/>
      <c r="S16" s="92">
        <f t="shared" si="0"/>
        <v>101014.41015624999</v>
      </c>
    </row>
    <row r="17" spans="1:20" ht="12.75" customHeight="1">
      <c r="A17" s="64">
        <v>6</v>
      </c>
      <c r="B17" s="88" t="s">
        <v>40</v>
      </c>
      <c r="C17" s="88" t="s">
        <v>30</v>
      </c>
      <c r="D17" s="89" t="s">
        <v>41</v>
      </c>
      <c r="E17" s="88">
        <v>1</v>
      </c>
      <c r="F17" s="90" t="s">
        <v>134</v>
      </c>
      <c r="G17" s="88">
        <v>4.51</v>
      </c>
      <c r="H17" s="89">
        <v>0.5</v>
      </c>
      <c r="I17" s="92">
        <f t="shared" si="1"/>
        <v>39906.735000000001</v>
      </c>
      <c r="J17" s="92">
        <f t="shared" si="2"/>
        <v>9976.6837500000001</v>
      </c>
      <c r="K17" s="92">
        <f t="shared" si="3"/>
        <v>12470.854687499999</v>
      </c>
      <c r="L17" s="93">
        <v>4988</v>
      </c>
      <c r="M17" s="95"/>
      <c r="N17" s="95"/>
      <c r="O17" s="95">
        <v>0</v>
      </c>
      <c r="P17" s="99"/>
      <c r="Q17" s="97"/>
      <c r="R17" s="98"/>
      <c r="S17" s="92">
        <f t="shared" si="0"/>
        <v>67342.2734375</v>
      </c>
    </row>
    <row r="18" spans="1:20" ht="12.75" customHeight="1">
      <c r="A18" s="64">
        <v>7</v>
      </c>
      <c r="B18" s="100" t="s">
        <v>43</v>
      </c>
      <c r="C18" s="100" t="s">
        <v>30</v>
      </c>
      <c r="D18" s="101" t="s">
        <v>41</v>
      </c>
      <c r="E18" s="100">
        <v>1</v>
      </c>
      <c r="F18" s="100" t="s">
        <v>145</v>
      </c>
      <c r="G18" s="102">
        <v>4.4400000000000004</v>
      </c>
      <c r="H18" s="101">
        <v>0.5</v>
      </c>
      <c r="I18" s="92">
        <f t="shared" si="1"/>
        <v>39287.340000000004</v>
      </c>
      <c r="J18" s="92">
        <f t="shared" si="2"/>
        <v>9821.8350000000009</v>
      </c>
      <c r="K18" s="92">
        <f t="shared" si="3"/>
        <v>12277.293750000001</v>
      </c>
      <c r="L18" s="93">
        <v>4911</v>
      </c>
      <c r="M18" s="95"/>
      <c r="N18" s="95"/>
      <c r="O18" s="95">
        <v>0</v>
      </c>
      <c r="P18" s="99"/>
      <c r="Q18" s="97"/>
      <c r="R18" s="98"/>
      <c r="S18" s="92">
        <f t="shared" si="0"/>
        <v>66297.46875</v>
      </c>
    </row>
    <row r="19" spans="1:20" ht="12.75" customHeight="1">
      <c r="A19" s="64">
        <v>8</v>
      </c>
      <c r="B19" s="88" t="s">
        <v>45</v>
      </c>
      <c r="C19" s="88" t="s">
        <v>30</v>
      </c>
      <c r="D19" s="89" t="s">
        <v>41</v>
      </c>
      <c r="E19" s="88">
        <v>1</v>
      </c>
      <c r="F19" s="90" t="s">
        <v>138</v>
      </c>
      <c r="G19" s="88">
        <v>4.51</v>
      </c>
      <c r="H19" s="89">
        <v>1</v>
      </c>
      <c r="I19" s="92">
        <f t="shared" ref="I19" si="5">SUM(G19*H19*17697)</f>
        <v>79813.47</v>
      </c>
      <c r="J19" s="92">
        <f t="shared" si="2"/>
        <v>19953.3675</v>
      </c>
      <c r="K19" s="92">
        <f t="shared" si="3"/>
        <v>24941.709374999999</v>
      </c>
      <c r="L19" s="93">
        <v>9977</v>
      </c>
      <c r="M19" s="95"/>
      <c r="N19" s="95"/>
      <c r="O19" s="95">
        <v>0</v>
      </c>
      <c r="P19" s="99"/>
      <c r="Q19" s="97"/>
      <c r="R19" s="98"/>
      <c r="S19" s="92">
        <f t="shared" si="0"/>
        <v>134685.546875</v>
      </c>
    </row>
    <row r="20" spans="1:20" ht="12.75" customHeight="1">
      <c r="A20" s="64">
        <v>9</v>
      </c>
      <c r="B20" s="88" t="s">
        <v>45</v>
      </c>
      <c r="C20" s="88" t="s">
        <v>30</v>
      </c>
      <c r="D20" s="89" t="s">
        <v>41</v>
      </c>
      <c r="E20" s="88">
        <v>1</v>
      </c>
      <c r="F20" s="90" t="s">
        <v>137</v>
      </c>
      <c r="G20" s="88">
        <v>4.51</v>
      </c>
      <c r="H20" s="89">
        <v>1</v>
      </c>
      <c r="I20" s="92">
        <f t="shared" si="1"/>
        <v>79813.47</v>
      </c>
      <c r="J20" s="92">
        <f t="shared" si="2"/>
        <v>19953.3675</v>
      </c>
      <c r="K20" s="92">
        <f t="shared" si="3"/>
        <v>24941.709374999999</v>
      </c>
      <c r="L20" s="93">
        <v>9977</v>
      </c>
      <c r="M20" s="94"/>
      <c r="N20" s="94"/>
      <c r="O20" s="95">
        <v>10618.199999999999</v>
      </c>
      <c r="P20" s="96"/>
      <c r="Q20" s="97"/>
      <c r="R20" s="98"/>
      <c r="S20" s="92">
        <f t="shared" ref="S20:S40" si="6">I20+J20+K20+L20+M20+O20+Q20+R20</f>
        <v>145303.74687500001</v>
      </c>
    </row>
    <row r="21" spans="1:20" ht="12.75" customHeight="1">
      <c r="A21" s="64">
        <v>10</v>
      </c>
      <c r="B21" s="88" t="s">
        <v>45</v>
      </c>
      <c r="C21" s="88" t="s">
        <v>30</v>
      </c>
      <c r="D21" s="89" t="s">
        <v>41</v>
      </c>
      <c r="E21" s="88">
        <v>1</v>
      </c>
      <c r="F21" s="90" t="s">
        <v>143</v>
      </c>
      <c r="G21" s="88">
        <v>4.37</v>
      </c>
      <c r="H21" s="89">
        <v>1</v>
      </c>
      <c r="I21" s="92">
        <f t="shared" si="1"/>
        <v>77335.89</v>
      </c>
      <c r="J21" s="92">
        <f t="shared" si="2"/>
        <v>19333.9725</v>
      </c>
      <c r="K21" s="92">
        <f t="shared" si="3"/>
        <v>24167.465625000001</v>
      </c>
      <c r="L21" s="93">
        <v>9667</v>
      </c>
      <c r="M21" s="94"/>
      <c r="N21" s="94"/>
      <c r="O21" s="95">
        <v>0</v>
      </c>
      <c r="P21" s="96"/>
      <c r="Q21" s="97"/>
      <c r="R21" s="98"/>
      <c r="S21" s="92">
        <f t="shared" si="6"/>
        <v>130504.328125</v>
      </c>
    </row>
    <row r="22" spans="1:20" ht="12.75" customHeight="1">
      <c r="A22" s="64">
        <v>11</v>
      </c>
      <c r="B22" s="90" t="s">
        <v>45</v>
      </c>
      <c r="C22" s="88" t="s">
        <v>30</v>
      </c>
      <c r="D22" s="89" t="s">
        <v>41</v>
      </c>
      <c r="E22" s="88">
        <v>1</v>
      </c>
      <c r="F22" s="90" t="s">
        <v>133</v>
      </c>
      <c r="G22" s="91">
        <v>4.4400000000000004</v>
      </c>
      <c r="H22" s="89">
        <v>1</v>
      </c>
      <c r="I22" s="92">
        <f t="shared" si="1"/>
        <v>78574.680000000008</v>
      </c>
      <c r="J22" s="92">
        <f t="shared" si="2"/>
        <v>19643.670000000002</v>
      </c>
      <c r="K22" s="92">
        <f t="shared" si="3"/>
        <v>24554.587500000001</v>
      </c>
      <c r="L22" s="93">
        <v>9822</v>
      </c>
      <c r="M22" s="94"/>
      <c r="N22" s="94"/>
      <c r="O22" s="95">
        <v>0</v>
      </c>
      <c r="P22" s="96"/>
      <c r="Q22" s="97"/>
      <c r="R22" s="98"/>
      <c r="S22" s="92">
        <f t="shared" si="6"/>
        <v>132594.9375</v>
      </c>
    </row>
    <row r="23" spans="1:20" s="73" customFormat="1" ht="12.75" customHeight="1">
      <c r="A23" s="64">
        <v>12</v>
      </c>
      <c r="B23" s="100" t="s">
        <v>45</v>
      </c>
      <c r="C23" s="88" t="s">
        <v>30</v>
      </c>
      <c r="D23" s="89" t="s">
        <v>122</v>
      </c>
      <c r="E23" s="100">
        <v>2</v>
      </c>
      <c r="F23" s="100" t="s">
        <v>144</v>
      </c>
      <c r="G23" s="100">
        <v>4.07</v>
      </c>
      <c r="H23" s="101">
        <v>1</v>
      </c>
      <c r="I23" s="92">
        <f t="shared" si="1"/>
        <v>72026.790000000008</v>
      </c>
      <c r="J23" s="92">
        <f t="shared" si="2"/>
        <v>18006.697500000002</v>
      </c>
      <c r="K23" s="92">
        <f t="shared" si="3"/>
        <v>22508.371875000004</v>
      </c>
      <c r="L23" s="93">
        <v>9003</v>
      </c>
      <c r="M23" s="94"/>
      <c r="N23" s="94"/>
      <c r="O23" s="95">
        <v>0</v>
      </c>
      <c r="P23" s="96"/>
      <c r="Q23" s="97"/>
      <c r="R23" s="98"/>
      <c r="S23" s="92">
        <f t="shared" si="6"/>
        <v>121544.85937500003</v>
      </c>
    </row>
    <row r="24" spans="1:20" s="73" customFormat="1" ht="12.75" customHeight="1">
      <c r="A24" s="64">
        <v>13</v>
      </c>
      <c r="B24" s="88" t="s">
        <v>45</v>
      </c>
      <c r="C24" s="88" t="s">
        <v>37</v>
      </c>
      <c r="D24" s="89" t="s">
        <v>51</v>
      </c>
      <c r="E24" s="88">
        <v>1</v>
      </c>
      <c r="F24" s="90" t="s">
        <v>135</v>
      </c>
      <c r="G24" s="88">
        <v>4.3899999999999997</v>
      </c>
      <c r="H24" s="103">
        <v>1</v>
      </c>
      <c r="I24" s="92">
        <f t="shared" si="1"/>
        <v>77689.829999999987</v>
      </c>
      <c r="J24" s="92">
        <f t="shared" si="2"/>
        <v>19422.457499999997</v>
      </c>
      <c r="K24" s="92">
        <f t="shared" si="3"/>
        <v>24278.071874999994</v>
      </c>
      <c r="L24" s="93">
        <v>9711</v>
      </c>
      <c r="M24" s="94"/>
      <c r="N24" s="94"/>
      <c r="O24" s="95">
        <v>0</v>
      </c>
      <c r="P24" s="96"/>
      <c r="Q24" s="97"/>
      <c r="R24" s="98"/>
      <c r="S24" s="92">
        <f t="shared" si="6"/>
        <v>131101.35937499997</v>
      </c>
    </row>
    <row r="25" spans="1:20" s="73" customFormat="1" ht="12.75" customHeight="1">
      <c r="A25" s="64">
        <v>14</v>
      </c>
      <c r="B25" s="100" t="s">
        <v>45</v>
      </c>
      <c r="C25" s="100" t="s">
        <v>37</v>
      </c>
      <c r="D25" s="101" t="s">
        <v>51</v>
      </c>
      <c r="E25" s="100">
        <v>1</v>
      </c>
      <c r="F25" s="100" t="s">
        <v>142</v>
      </c>
      <c r="G25" s="100">
        <v>4.32</v>
      </c>
      <c r="H25" s="101">
        <v>1</v>
      </c>
      <c r="I25" s="92">
        <f t="shared" si="1"/>
        <v>76451.040000000008</v>
      </c>
      <c r="J25" s="92">
        <f t="shared" si="2"/>
        <v>19112.760000000002</v>
      </c>
      <c r="K25" s="92">
        <f t="shared" si="3"/>
        <v>23890.950000000004</v>
      </c>
      <c r="L25" s="93">
        <v>9556</v>
      </c>
      <c r="M25" s="94"/>
      <c r="N25" s="94"/>
      <c r="O25" s="95">
        <v>0</v>
      </c>
      <c r="P25" s="96"/>
      <c r="Q25" s="97"/>
      <c r="R25" s="98"/>
      <c r="S25" s="92">
        <f t="shared" si="6"/>
        <v>129010.75000000003</v>
      </c>
    </row>
    <row r="26" spans="1:20" s="73" customFormat="1" ht="12.75" customHeight="1">
      <c r="A26" s="64">
        <v>15</v>
      </c>
      <c r="B26" s="104" t="s">
        <v>45</v>
      </c>
      <c r="C26" s="104" t="s">
        <v>37</v>
      </c>
      <c r="D26" s="105" t="s">
        <v>54</v>
      </c>
      <c r="E26" s="104">
        <v>1</v>
      </c>
      <c r="F26" s="106" t="s">
        <v>136</v>
      </c>
      <c r="G26" s="104">
        <v>4.3899999999999997</v>
      </c>
      <c r="H26" s="105">
        <v>1</v>
      </c>
      <c r="I26" s="92">
        <f t="shared" si="1"/>
        <v>77689.829999999987</v>
      </c>
      <c r="J26" s="92">
        <f t="shared" si="2"/>
        <v>19422.457499999997</v>
      </c>
      <c r="K26" s="92">
        <f t="shared" si="3"/>
        <v>24278.071874999994</v>
      </c>
      <c r="L26" s="107">
        <v>9711</v>
      </c>
      <c r="M26" s="94"/>
      <c r="N26" s="94"/>
      <c r="O26" s="94">
        <v>0</v>
      </c>
      <c r="P26" s="96"/>
      <c r="Q26" s="97"/>
      <c r="R26" s="98"/>
      <c r="S26" s="92">
        <f t="shared" si="6"/>
        <v>131101.35937499997</v>
      </c>
    </row>
    <row r="27" spans="1:20" s="73" customFormat="1" ht="12.75" customHeight="1">
      <c r="A27" s="64">
        <v>16</v>
      </c>
      <c r="B27" s="88" t="s">
        <v>45</v>
      </c>
      <c r="C27" s="90" t="s">
        <v>37</v>
      </c>
      <c r="D27" s="89" t="s">
        <v>51</v>
      </c>
      <c r="E27" s="88">
        <v>1</v>
      </c>
      <c r="F27" s="90" t="s">
        <v>146</v>
      </c>
      <c r="G27" s="91">
        <v>4.32</v>
      </c>
      <c r="H27" s="89">
        <v>1</v>
      </c>
      <c r="I27" s="92">
        <f t="shared" si="1"/>
        <v>76451.040000000008</v>
      </c>
      <c r="J27" s="92">
        <f t="shared" si="2"/>
        <v>19112.760000000002</v>
      </c>
      <c r="K27" s="92">
        <f t="shared" si="3"/>
        <v>23890.950000000004</v>
      </c>
      <c r="L27" s="93">
        <v>9556</v>
      </c>
      <c r="M27" s="95"/>
      <c r="N27" s="95"/>
      <c r="O27" s="95">
        <v>0</v>
      </c>
      <c r="P27" s="96"/>
      <c r="Q27" s="97"/>
      <c r="R27" s="98"/>
      <c r="S27" s="92">
        <f t="shared" si="6"/>
        <v>129010.75000000003</v>
      </c>
    </row>
    <row r="28" spans="1:20" s="73" customFormat="1" ht="12.75" customHeight="1">
      <c r="A28" s="64">
        <v>17</v>
      </c>
      <c r="B28" s="88" t="s">
        <v>45</v>
      </c>
      <c r="C28" s="90" t="s">
        <v>37</v>
      </c>
      <c r="D28" s="89" t="s">
        <v>57</v>
      </c>
      <c r="E28" s="88">
        <v>2</v>
      </c>
      <c r="F28" s="90" t="s">
        <v>139</v>
      </c>
      <c r="G28" s="88">
        <v>3.97</v>
      </c>
      <c r="H28" s="89">
        <v>1</v>
      </c>
      <c r="I28" s="92">
        <f t="shared" si="1"/>
        <v>70257.09</v>
      </c>
      <c r="J28" s="92">
        <f t="shared" si="2"/>
        <v>17564.272499999999</v>
      </c>
      <c r="K28" s="92">
        <f t="shared" si="3"/>
        <v>21955.340624999997</v>
      </c>
      <c r="L28" s="93">
        <v>8782</v>
      </c>
      <c r="M28" s="95"/>
      <c r="N28" s="95"/>
      <c r="O28" s="95">
        <v>10618.2</v>
      </c>
      <c r="P28" s="108"/>
      <c r="Q28" s="109"/>
      <c r="R28" s="109"/>
      <c r="S28" s="92">
        <f t="shared" si="6"/>
        <v>129176.90312499998</v>
      </c>
    </row>
    <row r="29" spans="1:20" s="73" customFormat="1" ht="12.75" customHeight="1">
      <c r="A29" s="64">
        <v>18</v>
      </c>
      <c r="B29" s="88" t="s">
        <v>58</v>
      </c>
      <c r="C29" s="90" t="s">
        <v>37</v>
      </c>
      <c r="D29" s="89" t="s">
        <v>59</v>
      </c>
      <c r="E29" s="88"/>
      <c r="F29" s="90" t="s">
        <v>146</v>
      </c>
      <c r="G29" s="91">
        <v>3.69</v>
      </c>
      <c r="H29" s="89">
        <v>0.5</v>
      </c>
      <c r="I29" s="92">
        <f t="shared" si="1"/>
        <v>32650.965</v>
      </c>
      <c r="J29" s="92">
        <f t="shared" si="2"/>
        <v>8162.74125</v>
      </c>
      <c r="K29" s="92">
        <f t="shared" si="3"/>
        <v>10203.426562500001</v>
      </c>
      <c r="L29" s="93">
        <v>4081</v>
      </c>
      <c r="M29" s="95"/>
      <c r="N29" s="95"/>
      <c r="O29" s="95">
        <v>0</v>
      </c>
      <c r="P29" s="108"/>
      <c r="Q29" s="109"/>
      <c r="R29" s="109"/>
      <c r="S29" s="92">
        <f t="shared" si="6"/>
        <v>55098.1328125</v>
      </c>
    </row>
    <row r="30" spans="1:20" s="73" customFormat="1" ht="12.75" customHeight="1">
      <c r="A30" s="64">
        <v>19</v>
      </c>
      <c r="B30" s="88" t="s">
        <v>60</v>
      </c>
      <c r="C30" s="88" t="s">
        <v>37</v>
      </c>
      <c r="D30" s="88" t="s">
        <v>59</v>
      </c>
      <c r="E30" s="88"/>
      <c r="F30" s="90" t="s">
        <v>147</v>
      </c>
      <c r="G30" s="88">
        <v>3.41</v>
      </c>
      <c r="H30" s="88">
        <v>0.5</v>
      </c>
      <c r="I30" s="92">
        <f t="shared" si="1"/>
        <v>30173.385000000002</v>
      </c>
      <c r="J30" s="92"/>
      <c r="K30" s="92">
        <f t="shared" ref="K30:K37" si="7">SUM(I30*25%)</f>
        <v>7543.3462500000005</v>
      </c>
      <c r="L30" s="93">
        <v>3017</v>
      </c>
      <c r="M30" s="95"/>
      <c r="N30" s="95"/>
      <c r="O30" s="95">
        <v>2654.55</v>
      </c>
      <c r="P30" s="109"/>
      <c r="Q30" s="110"/>
      <c r="R30" s="110"/>
      <c r="S30" s="92">
        <f t="shared" si="6"/>
        <v>43388.281250000007</v>
      </c>
      <c r="T30" s="74"/>
    </row>
    <row r="31" spans="1:20" s="73" customFormat="1" ht="12.75" customHeight="1">
      <c r="A31" s="64">
        <v>20</v>
      </c>
      <c r="B31" s="88" t="s">
        <v>60</v>
      </c>
      <c r="C31" s="88" t="s">
        <v>37</v>
      </c>
      <c r="D31" s="88" t="s">
        <v>59</v>
      </c>
      <c r="E31" s="88"/>
      <c r="F31" s="90" t="s">
        <v>147</v>
      </c>
      <c r="G31" s="88">
        <v>3.41</v>
      </c>
      <c r="H31" s="88">
        <v>0.5</v>
      </c>
      <c r="I31" s="92">
        <f t="shared" si="1"/>
        <v>30173.385000000002</v>
      </c>
      <c r="J31" s="92"/>
      <c r="K31" s="92">
        <f t="shared" si="7"/>
        <v>7543.3462500000005</v>
      </c>
      <c r="L31" s="93">
        <v>3017</v>
      </c>
      <c r="M31" s="95"/>
      <c r="N31" s="95"/>
      <c r="O31" s="95">
        <v>2654.55</v>
      </c>
      <c r="P31" s="109"/>
      <c r="Q31" s="109"/>
      <c r="R31" s="109"/>
      <c r="S31" s="92">
        <f t="shared" si="6"/>
        <v>43388.281250000007</v>
      </c>
    </row>
    <row r="32" spans="1:20" s="73" customFormat="1" ht="12.75" customHeight="1">
      <c r="A32" s="64">
        <v>21</v>
      </c>
      <c r="B32" s="88" t="s">
        <v>62</v>
      </c>
      <c r="C32" s="88" t="s">
        <v>37</v>
      </c>
      <c r="D32" s="89" t="s">
        <v>63</v>
      </c>
      <c r="E32" s="88"/>
      <c r="F32" s="90" t="s">
        <v>149</v>
      </c>
      <c r="G32" s="88">
        <v>3.68</v>
      </c>
      <c r="H32" s="89">
        <v>1</v>
      </c>
      <c r="I32" s="92">
        <f t="shared" si="1"/>
        <v>65124.960000000006</v>
      </c>
      <c r="J32" s="92"/>
      <c r="K32" s="92"/>
      <c r="L32" s="93">
        <v>6512</v>
      </c>
      <c r="M32" s="95"/>
      <c r="N32" s="95"/>
      <c r="O32" s="95">
        <v>0</v>
      </c>
      <c r="P32" s="109"/>
      <c r="Q32" s="110"/>
      <c r="R32" s="110"/>
      <c r="S32" s="92">
        <f t="shared" si="6"/>
        <v>71636.960000000006</v>
      </c>
    </row>
    <row r="33" spans="1:19" s="73" customFormat="1" ht="12.75" customHeight="1">
      <c r="A33" s="64">
        <v>22</v>
      </c>
      <c r="B33" s="71" t="s">
        <v>65</v>
      </c>
      <c r="C33" s="88"/>
      <c r="D33" s="89" t="s">
        <v>66</v>
      </c>
      <c r="E33" s="88"/>
      <c r="F33" s="90" t="s">
        <v>150</v>
      </c>
      <c r="G33" s="88">
        <v>3.29</v>
      </c>
      <c r="H33" s="89">
        <v>1</v>
      </c>
      <c r="I33" s="92">
        <f t="shared" si="1"/>
        <v>58223.13</v>
      </c>
      <c r="J33" s="92"/>
      <c r="K33" s="92">
        <f t="shared" si="7"/>
        <v>14555.782499999999</v>
      </c>
      <c r="L33" s="93">
        <v>5822</v>
      </c>
      <c r="M33" s="95"/>
      <c r="N33" s="95"/>
      <c r="O33" s="95">
        <v>5309.0999999999995</v>
      </c>
      <c r="P33" s="109"/>
      <c r="Q33" s="109"/>
      <c r="R33" s="109"/>
      <c r="S33" s="92">
        <f t="shared" si="6"/>
        <v>83910.012499999997</v>
      </c>
    </row>
    <row r="34" spans="1:19" s="73" customFormat="1" ht="12.75" customHeight="1">
      <c r="A34" s="64">
        <v>23</v>
      </c>
      <c r="B34" s="71" t="s">
        <v>65</v>
      </c>
      <c r="C34" s="88"/>
      <c r="D34" s="89" t="s">
        <v>66</v>
      </c>
      <c r="E34" s="88"/>
      <c r="F34" s="90" t="s">
        <v>151</v>
      </c>
      <c r="G34" s="88">
        <v>3.08</v>
      </c>
      <c r="H34" s="89">
        <v>1</v>
      </c>
      <c r="I34" s="92">
        <f t="shared" si="1"/>
        <v>54506.76</v>
      </c>
      <c r="J34" s="92"/>
      <c r="K34" s="92">
        <f t="shared" si="7"/>
        <v>13626.69</v>
      </c>
      <c r="L34" s="93">
        <v>5451</v>
      </c>
      <c r="M34" s="95"/>
      <c r="N34" s="95"/>
      <c r="O34" s="95">
        <v>5309.0999999999995</v>
      </c>
      <c r="P34" s="109"/>
      <c r="Q34" s="109"/>
      <c r="R34" s="109"/>
      <c r="S34" s="92">
        <f t="shared" si="6"/>
        <v>78893.55</v>
      </c>
    </row>
    <row r="35" spans="1:19" s="73" customFormat="1" ht="12.75" customHeight="1">
      <c r="A35" s="64">
        <v>24</v>
      </c>
      <c r="B35" s="71" t="s">
        <v>65</v>
      </c>
      <c r="C35" s="88"/>
      <c r="D35" s="89" t="s">
        <v>66</v>
      </c>
      <c r="E35" s="88"/>
      <c r="F35" s="90" t="s">
        <v>152</v>
      </c>
      <c r="G35" s="88">
        <v>3.04</v>
      </c>
      <c r="H35" s="89">
        <v>1</v>
      </c>
      <c r="I35" s="92">
        <f t="shared" si="1"/>
        <v>53798.879999999997</v>
      </c>
      <c r="J35" s="92"/>
      <c r="K35" s="92">
        <f t="shared" si="7"/>
        <v>13449.72</v>
      </c>
      <c r="L35" s="93">
        <v>5380</v>
      </c>
      <c r="M35" s="95"/>
      <c r="N35" s="95"/>
      <c r="O35" s="95">
        <v>5309.0999999999995</v>
      </c>
      <c r="P35" s="109"/>
      <c r="Q35" s="109"/>
      <c r="R35" s="109"/>
      <c r="S35" s="92">
        <f t="shared" si="6"/>
        <v>77937.7</v>
      </c>
    </row>
    <row r="36" spans="1:19" s="73" customFormat="1" ht="12.75" customHeight="1">
      <c r="A36" s="64">
        <v>25</v>
      </c>
      <c r="B36" s="71" t="s">
        <v>65</v>
      </c>
      <c r="C36" s="71"/>
      <c r="D36" s="89" t="s">
        <v>66</v>
      </c>
      <c r="E36" s="88"/>
      <c r="F36" s="111" t="s">
        <v>154</v>
      </c>
      <c r="G36" s="88">
        <v>3.19</v>
      </c>
      <c r="H36" s="89">
        <v>1</v>
      </c>
      <c r="I36" s="92">
        <f t="shared" si="1"/>
        <v>56453.43</v>
      </c>
      <c r="J36" s="92"/>
      <c r="K36" s="92">
        <f t="shared" si="7"/>
        <v>14113.3575</v>
      </c>
      <c r="L36" s="93">
        <v>5645</v>
      </c>
      <c r="M36" s="95"/>
      <c r="N36" s="95"/>
      <c r="O36" s="95">
        <v>5309.1</v>
      </c>
      <c r="P36" s="108"/>
      <c r="Q36" s="109"/>
      <c r="R36" s="109"/>
      <c r="S36" s="92">
        <f t="shared" si="6"/>
        <v>81520.887500000012</v>
      </c>
    </row>
    <row r="37" spans="1:19" s="73" customFormat="1" ht="12.75" customHeight="1">
      <c r="A37" s="64">
        <v>26</v>
      </c>
      <c r="B37" s="88" t="s">
        <v>65</v>
      </c>
      <c r="C37" s="88"/>
      <c r="D37" s="89" t="s">
        <v>66</v>
      </c>
      <c r="E37" s="88"/>
      <c r="F37" s="111" t="s">
        <v>153</v>
      </c>
      <c r="G37" s="88">
        <v>3.22</v>
      </c>
      <c r="H37" s="89">
        <v>1</v>
      </c>
      <c r="I37" s="92">
        <f t="shared" si="1"/>
        <v>56984.340000000004</v>
      </c>
      <c r="J37" s="112"/>
      <c r="K37" s="92">
        <f t="shared" si="7"/>
        <v>14246.085000000001</v>
      </c>
      <c r="L37" s="93">
        <v>5698</v>
      </c>
      <c r="M37" s="95"/>
      <c r="N37" s="113"/>
      <c r="O37" s="95">
        <v>10618.2</v>
      </c>
      <c r="P37" s="110"/>
      <c r="Q37" s="110"/>
      <c r="R37" s="110"/>
      <c r="S37" s="92">
        <f t="shared" si="6"/>
        <v>87546.625</v>
      </c>
    </row>
    <row r="38" spans="1:19" s="73" customFormat="1" ht="12.75" customHeight="1">
      <c r="A38" s="64">
        <v>27</v>
      </c>
      <c r="B38" s="71" t="s">
        <v>70</v>
      </c>
      <c r="C38" s="71"/>
      <c r="D38" s="89" t="s">
        <v>78</v>
      </c>
      <c r="E38" s="88"/>
      <c r="F38" s="90"/>
      <c r="G38" s="88">
        <v>2.81</v>
      </c>
      <c r="H38" s="89">
        <v>1</v>
      </c>
      <c r="I38" s="92">
        <f t="shared" si="1"/>
        <v>49728.57</v>
      </c>
      <c r="J38" s="112"/>
      <c r="K38" s="112"/>
      <c r="L38" s="93">
        <v>4973</v>
      </c>
      <c r="M38" s="95">
        <v>3539.4</v>
      </c>
      <c r="N38" s="95"/>
      <c r="O38" s="95">
        <v>5309.1</v>
      </c>
      <c r="P38" s="109"/>
      <c r="Q38" s="109"/>
      <c r="R38" s="109"/>
      <c r="S38" s="92">
        <f t="shared" si="6"/>
        <v>63550.07</v>
      </c>
    </row>
    <row r="39" spans="1:19" s="73" customFormat="1" ht="12.75" customHeight="1">
      <c r="A39" s="64">
        <v>28</v>
      </c>
      <c r="B39" s="88" t="s">
        <v>72</v>
      </c>
      <c r="C39" s="71"/>
      <c r="D39" s="111" t="s">
        <v>78</v>
      </c>
      <c r="E39" s="88"/>
      <c r="F39" s="88"/>
      <c r="G39" s="88">
        <v>2.81</v>
      </c>
      <c r="H39" s="89">
        <v>1</v>
      </c>
      <c r="I39" s="92">
        <f t="shared" si="1"/>
        <v>49728.57</v>
      </c>
      <c r="J39" s="112"/>
      <c r="K39" s="112"/>
      <c r="L39" s="93">
        <v>4973</v>
      </c>
      <c r="M39" s="95"/>
      <c r="N39" s="95"/>
      <c r="O39" s="95">
        <v>0</v>
      </c>
      <c r="P39" s="109"/>
      <c r="Q39" s="109"/>
      <c r="R39" s="109"/>
      <c r="S39" s="92">
        <f t="shared" si="6"/>
        <v>54701.57</v>
      </c>
    </row>
    <row r="40" spans="1:19" s="73" customFormat="1" ht="12.75" customHeight="1">
      <c r="A40" s="64">
        <v>29</v>
      </c>
      <c r="B40" s="71" t="s">
        <v>73</v>
      </c>
      <c r="C40" s="71"/>
      <c r="D40" s="89" t="s">
        <v>156</v>
      </c>
      <c r="E40" s="88"/>
      <c r="F40" s="88"/>
      <c r="G40" s="88">
        <v>2.89</v>
      </c>
      <c r="H40" s="89">
        <v>1</v>
      </c>
      <c r="I40" s="92">
        <f t="shared" si="1"/>
        <v>51144.33</v>
      </c>
      <c r="J40" s="112"/>
      <c r="K40" s="112"/>
      <c r="L40" s="93">
        <v>5114</v>
      </c>
      <c r="M40" s="95"/>
      <c r="N40" s="95"/>
      <c r="O40" s="95">
        <v>5309.0999999999995</v>
      </c>
      <c r="P40" s="109"/>
      <c r="Q40" s="109"/>
      <c r="R40" s="109"/>
      <c r="S40" s="92">
        <f t="shared" si="6"/>
        <v>61567.43</v>
      </c>
    </row>
    <row r="41" spans="1:19" s="73" customFormat="1" ht="12.75" customHeight="1">
      <c r="A41" s="64">
        <v>30</v>
      </c>
      <c r="B41" s="71" t="s">
        <v>73</v>
      </c>
      <c r="C41" s="71"/>
      <c r="D41" s="111" t="s">
        <v>75</v>
      </c>
      <c r="E41" s="88"/>
      <c r="F41" s="88"/>
      <c r="G41" s="88">
        <v>2.92</v>
      </c>
      <c r="H41" s="89">
        <v>1</v>
      </c>
      <c r="I41" s="92">
        <f t="shared" si="1"/>
        <v>51675.24</v>
      </c>
      <c r="J41" s="112"/>
      <c r="K41" s="112"/>
      <c r="L41" s="93">
        <v>5167</v>
      </c>
      <c r="M41" s="95"/>
      <c r="N41" s="95"/>
      <c r="O41" s="95">
        <v>5309.0999999999995</v>
      </c>
      <c r="P41" s="109"/>
      <c r="Q41" s="109"/>
      <c r="R41" s="109"/>
      <c r="S41" s="92">
        <f>I41+J41+K41+L41+M41+O41+Q41+R41</f>
        <v>62151.34</v>
      </c>
    </row>
    <row r="42" spans="1:19" s="73" customFormat="1" ht="12.75" customHeight="1">
      <c r="A42" s="64">
        <v>31</v>
      </c>
      <c r="B42" s="88" t="s">
        <v>77</v>
      </c>
      <c r="C42" s="71"/>
      <c r="D42" s="89" t="s">
        <v>78</v>
      </c>
      <c r="E42" s="88"/>
      <c r="F42" s="88"/>
      <c r="G42" s="88">
        <v>2.81</v>
      </c>
      <c r="H42" s="89">
        <v>1</v>
      </c>
      <c r="I42" s="92">
        <f t="shared" si="1"/>
        <v>49728.57</v>
      </c>
      <c r="J42" s="112"/>
      <c r="K42" s="112"/>
      <c r="L42" s="93">
        <v>4973</v>
      </c>
      <c r="M42" s="95"/>
      <c r="N42" s="95"/>
      <c r="O42" s="95">
        <v>5309.1</v>
      </c>
      <c r="P42" s="109"/>
      <c r="Q42" s="109"/>
      <c r="R42" s="109"/>
      <c r="S42" s="92">
        <f>I42+J42+K42+L42+M42+O42+Q42+R42</f>
        <v>60010.67</v>
      </c>
    </row>
    <row r="43" spans="1:19" s="73" customFormat="1" ht="12.75" customHeight="1">
      <c r="A43" s="64">
        <v>32</v>
      </c>
      <c r="B43" s="71" t="s">
        <v>79</v>
      </c>
      <c r="C43" s="71"/>
      <c r="D43" s="89" t="s">
        <v>78</v>
      </c>
      <c r="E43" s="88"/>
      <c r="F43" s="88"/>
      <c r="G43" s="88">
        <v>2.81</v>
      </c>
      <c r="H43" s="89">
        <v>0.5</v>
      </c>
      <c r="I43" s="92">
        <f t="shared" si="1"/>
        <v>24864.285</v>
      </c>
      <c r="J43" s="112"/>
      <c r="K43" s="112"/>
      <c r="L43" s="93">
        <v>2486</v>
      </c>
      <c r="M43" s="95"/>
      <c r="N43" s="95"/>
      <c r="O43" s="95">
        <v>0</v>
      </c>
      <c r="P43" s="109"/>
      <c r="Q43" s="109"/>
      <c r="R43" s="109"/>
      <c r="S43" s="92">
        <f t="shared" ref="S43:S47" si="8">SUM(I43:R43)</f>
        <v>27350.285</v>
      </c>
    </row>
    <row r="44" spans="1:19" s="73" customFormat="1" ht="12.75" customHeight="1">
      <c r="A44" s="64">
        <v>33</v>
      </c>
      <c r="B44" s="71" t="s">
        <v>80</v>
      </c>
      <c r="C44" s="71"/>
      <c r="D44" s="89" t="s">
        <v>78</v>
      </c>
      <c r="E44" s="88"/>
      <c r="F44" s="88"/>
      <c r="G44" s="88">
        <v>2.81</v>
      </c>
      <c r="H44" s="89">
        <v>0.5</v>
      </c>
      <c r="I44" s="92">
        <f t="shared" si="1"/>
        <v>24864.285</v>
      </c>
      <c r="J44" s="112"/>
      <c r="K44" s="112"/>
      <c r="L44" s="93">
        <v>2486</v>
      </c>
      <c r="M44" s="95"/>
      <c r="N44" s="95"/>
      <c r="O44" s="95">
        <v>0</v>
      </c>
      <c r="P44" s="109"/>
      <c r="Q44" s="109"/>
      <c r="R44" s="109"/>
      <c r="S44" s="92">
        <f t="shared" si="8"/>
        <v>27350.285</v>
      </c>
    </row>
    <row r="45" spans="1:19" s="73" customFormat="1" ht="12.75" customHeight="1">
      <c r="A45" s="64">
        <v>34</v>
      </c>
      <c r="B45" s="71" t="s">
        <v>82</v>
      </c>
      <c r="C45" s="71"/>
      <c r="D45" s="89" t="s">
        <v>78</v>
      </c>
      <c r="E45" s="88"/>
      <c r="F45" s="88"/>
      <c r="G45" s="88">
        <v>2.81</v>
      </c>
      <c r="H45" s="89">
        <v>1</v>
      </c>
      <c r="I45" s="92">
        <f t="shared" si="1"/>
        <v>49728.57</v>
      </c>
      <c r="J45" s="112"/>
      <c r="K45" s="112"/>
      <c r="L45" s="93">
        <v>4973</v>
      </c>
      <c r="M45" s="95"/>
      <c r="N45" s="95"/>
      <c r="O45" s="95">
        <v>0</v>
      </c>
      <c r="P45" s="109"/>
      <c r="Q45" s="109">
        <v>2368.0300000000002</v>
      </c>
      <c r="R45" s="109">
        <v>11840.14</v>
      </c>
      <c r="S45" s="92">
        <f t="shared" si="8"/>
        <v>68909.739999999991</v>
      </c>
    </row>
    <row r="46" spans="1:19" s="73" customFormat="1" ht="12.75" customHeight="1">
      <c r="A46" s="64">
        <v>35</v>
      </c>
      <c r="B46" s="71" t="s">
        <v>82</v>
      </c>
      <c r="C46" s="71"/>
      <c r="D46" s="89" t="s">
        <v>78</v>
      </c>
      <c r="E46" s="88"/>
      <c r="F46" s="88"/>
      <c r="G46" s="88">
        <v>2.81</v>
      </c>
      <c r="H46" s="89">
        <v>1</v>
      </c>
      <c r="I46" s="92">
        <f t="shared" si="1"/>
        <v>49728.57</v>
      </c>
      <c r="J46" s="112"/>
      <c r="K46" s="112"/>
      <c r="L46" s="93">
        <v>4973</v>
      </c>
      <c r="M46" s="95"/>
      <c r="N46" s="95"/>
      <c r="O46" s="95">
        <v>0</v>
      </c>
      <c r="P46" s="109"/>
      <c r="Q46" s="109">
        <v>2368.0300000000002</v>
      </c>
      <c r="R46" s="109">
        <v>11840.14</v>
      </c>
      <c r="S46" s="92">
        <f t="shared" si="8"/>
        <v>68909.739999999991</v>
      </c>
    </row>
    <row r="47" spans="1:19" s="73" customFormat="1" ht="12.75" customHeight="1">
      <c r="A47" s="64">
        <v>36</v>
      </c>
      <c r="B47" s="88" t="s">
        <v>82</v>
      </c>
      <c r="C47" s="71"/>
      <c r="D47" s="89" t="s">
        <v>78</v>
      </c>
      <c r="E47" s="88"/>
      <c r="F47" s="88"/>
      <c r="G47" s="88">
        <v>2.81</v>
      </c>
      <c r="H47" s="89">
        <v>1</v>
      </c>
      <c r="I47" s="92">
        <f t="shared" si="1"/>
        <v>49728.57</v>
      </c>
      <c r="J47" s="112"/>
      <c r="K47" s="112"/>
      <c r="L47" s="93">
        <v>4973</v>
      </c>
      <c r="M47" s="95"/>
      <c r="N47" s="95"/>
      <c r="O47" s="95">
        <v>0</v>
      </c>
      <c r="P47" s="109"/>
      <c r="Q47" s="109">
        <v>2368.0300000000002</v>
      </c>
      <c r="R47" s="109">
        <v>11840.14</v>
      </c>
      <c r="S47" s="92">
        <f t="shared" si="8"/>
        <v>68909.739999999991</v>
      </c>
    </row>
    <row r="48" spans="1:19" s="73" customFormat="1">
      <c r="A48" s="64"/>
      <c r="B48" s="114"/>
      <c r="C48" s="114"/>
      <c r="D48" s="114"/>
      <c r="E48" s="114"/>
      <c r="F48" s="114"/>
      <c r="G48" s="114"/>
      <c r="H48" s="115">
        <f t="shared" ref="H48:S48" si="9">SUM(H12:H47)</f>
        <v>31</v>
      </c>
      <c r="I48" s="116">
        <f t="shared" si="9"/>
        <v>2055462.3075000003</v>
      </c>
      <c r="J48" s="116">
        <f t="shared" si="9"/>
        <v>289357.01062500005</v>
      </c>
      <c r="K48" s="116">
        <f t="shared" si="9"/>
        <v>446774.59078125004</v>
      </c>
      <c r="L48" s="117">
        <f t="shared" si="9"/>
        <v>234478</v>
      </c>
      <c r="M48" s="94">
        <f t="shared" si="9"/>
        <v>3539.4</v>
      </c>
      <c r="N48" s="94">
        <f t="shared" si="9"/>
        <v>0</v>
      </c>
      <c r="O48" s="94">
        <f t="shared" si="9"/>
        <v>79636.5</v>
      </c>
      <c r="P48" s="117">
        <f t="shared" si="9"/>
        <v>0</v>
      </c>
      <c r="Q48" s="117">
        <f t="shared" si="9"/>
        <v>7104.09</v>
      </c>
      <c r="R48" s="117">
        <f t="shared" si="9"/>
        <v>35520.42</v>
      </c>
      <c r="S48" s="116">
        <f t="shared" si="9"/>
        <v>3151872.3189062504</v>
      </c>
    </row>
    <row r="49" spans="1:19" s="73" customFormat="1">
      <c r="A49" s="67"/>
      <c r="B49" s="75"/>
      <c r="C49" s="75"/>
      <c r="D49" s="75"/>
      <c r="E49" s="75"/>
      <c r="F49" s="75"/>
      <c r="G49" s="75"/>
      <c r="H49" s="75"/>
      <c r="I49" s="76"/>
      <c r="J49" s="76"/>
      <c r="K49" s="76"/>
      <c r="L49" s="75"/>
      <c r="M49" s="75"/>
      <c r="N49" s="75"/>
      <c r="O49" s="75"/>
      <c r="P49" s="75"/>
      <c r="Q49" s="75"/>
      <c r="R49" s="75"/>
      <c r="S49" s="76"/>
    </row>
    <row r="50" spans="1:19" s="73" customFormat="1"/>
    <row r="52" spans="1:19">
      <c r="B52" s="51" t="s">
        <v>121</v>
      </c>
      <c r="C52" s="51"/>
      <c r="D52" s="51"/>
      <c r="G52" s="163" t="s">
        <v>28</v>
      </c>
      <c r="H52" s="163"/>
      <c r="I52" s="163"/>
    </row>
  </sheetData>
  <mergeCells count="5">
    <mergeCell ref="B3:F3"/>
    <mergeCell ref="B4:F4"/>
    <mergeCell ref="B5:D5"/>
    <mergeCell ref="L8:R9"/>
    <mergeCell ref="G52:I52"/>
  </mergeCells>
  <pageMargins left="0.75" right="0.75" top="1" bottom="1" header="0.5" footer="0.5"/>
  <pageSetup paperSize="9" scale="68" orientation="landscape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01.09.20 без увел </vt:lpstr>
      <vt:lpstr>восп с увел</vt:lpstr>
      <vt:lpstr>штат 01.01н 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2020-12-21T11:30:01Z</cp:lastPrinted>
  <dcterms:created xsi:type="dcterms:W3CDTF">2018-11-28T03:38:26Z</dcterms:created>
  <dcterms:modified xsi:type="dcterms:W3CDTF">2023-02-24T06:58:39Z</dcterms:modified>
</cp:coreProperties>
</file>